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https://resources-my.sharepoint.com/personal/picciano_rff_org/Documents/E4ST/Innov Gates/Expert elicitation/CURRENT QUESTIONNAIRE/Final instrucs summaries Qs excerpts to send/"/>
    </mc:Choice>
  </mc:AlternateContent>
  <xr:revisionPtr revIDLastSave="4" documentId="8_{76AFA87B-8DEA-42A1-80B6-362DF159DDE9}" xr6:coauthVersionLast="46" xr6:coauthVersionMax="46" xr10:uidLastSave="{EEF994D8-0133-4009-BF21-D5C0CF39F137}"/>
  <bookViews>
    <workbookView xWindow="11970" yWindow="-28890" windowWidth="18180" windowHeight="28980" xr2:uid="{423EA987-56DA-4F56-8F89-396A58C93987}"/>
  </bookViews>
  <sheets>
    <sheet name="Part 1" sheetId="2" r:id="rId1"/>
    <sheet name="Part 2--Checklist" sheetId="4" r:id="rId2"/>
    <sheet name="Part 3--Levelized Cost" sheetId="1" r:id="rId3"/>
    <sheet name="Sheet1" sheetId="3" state="hidden" r:id="rId4"/>
  </sheets>
  <definedNames>
    <definedName name="_ftn1" localSheetId="2">'Part 3--Levelized Cost'!#REF!</definedName>
    <definedName name="_ftnref1" localSheetId="2">'Part 3--Levelized Cost'!#REF!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H7" i="1" l="1"/>
  <c r="H4" i="1"/>
  <c r="B26" i="1" l="1"/>
  <c r="C26" i="1" s="1"/>
  <c r="D26" i="1" s="1"/>
  <c r="E26" i="1" s="1"/>
  <c r="F26" i="1" s="1"/>
  <c r="B31" i="1"/>
  <c r="C31" i="1" s="1"/>
  <c r="D31" i="1" s="1"/>
  <c r="E31" i="1" s="1"/>
  <c r="F31" i="1" s="1"/>
  <c r="H31" i="1" l="1"/>
  <c r="A1" i="1" l="1"/>
  <c r="A8" i="1" l="1"/>
  <c r="E37" i="1" l="1"/>
  <c r="H30" i="1" l="1"/>
  <c r="H41" i="1" l="1"/>
  <c r="H59" i="1"/>
  <c r="H53" i="1"/>
  <c r="H47" i="1"/>
  <c r="G10" i="1"/>
  <c r="A36" i="1" l="1"/>
  <c r="G14" i="1" l="1"/>
  <c r="H29" i="1" l="1"/>
  <c r="B37" i="1"/>
  <c r="C37" i="1"/>
  <c r="D37" i="1"/>
  <c r="F37" i="1"/>
  <c r="A37" i="1"/>
  <c r="C5" i="4"/>
  <c r="A10" i="2"/>
  <c r="A14" i="2"/>
  <c r="A8" i="2" l="1"/>
  <c r="A6" i="2"/>
  <c r="H32" i="1" l="1"/>
  <c r="F32" i="1" l="1"/>
  <c r="G32" i="1"/>
  <c r="F8" i="1"/>
  <c r="H1" i="1" l="1"/>
  <c r="G41" i="1" l="1"/>
  <c r="A32" i="1" l="1"/>
  <c r="G5" i="3"/>
  <c r="H33" i="1" l="1"/>
  <c r="A16" i="2" l="1"/>
  <c r="H28" i="1" l="1"/>
  <c r="G28" i="1"/>
  <c r="G31" i="1"/>
  <c r="G29" i="1"/>
  <c r="G30" i="1"/>
  <c r="G27" i="1"/>
  <c r="G25" i="1"/>
  <c r="B8" i="1" l="1"/>
  <c r="C8" i="1"/>
  <c r="D8" i="1"/>
  <c r="E8" i="1"/>
  <c r="B32" i="1"/>
  <c r="C32" i="1"/>
  <c r="D32" i="1"/>
  <c r="E32" i="1"/>
  <c r="H35" i="1"/>
  <c r="G37" i="1" l="1"/>
  <c r="H34" i="1"/>
  <c r="G59" i="1"/>
  <c r="G53" i="1"/>
  <c r="G47" i="1"/>
  <c r="G33" i="1"/>
  <c r="G35" i="1"/>
  <c r="G34" i="1"/>
  <c r="A21" i="1" l="1"/>
  <c r="A7" i="1" s="1"/>
  <c r="B15" i="3" l="1"/>
  <c r="F21" i="1"/>
  <c r="F7" i="1" s="1"/>
  <c r="B21" i="1"/>
  <c r="B7" i="1" s="1"/>
  <c r="C21" i="1"/>
  <c r="C7" i="1" s="1"/>
  <c r="D21" i="1"/>
  <c r="D7" i="1" s="1"/>
  <c r="E21" i="1"/>
  <c r="E7" i="1" s="1"/>
  <c r="D15" i="3" l="1"/>
  <c r="C14" i="3"/>
  <c r="C15" i="3"/>
  <c r="B14" i="3"/>
  <c r="D14" i="3"/>
</calcChain>
</file>

<file path=xl/sharedStrings.xml><?xml version="1.0" encoding="utf-8"?>
<sst xmlns="http://schemas.openxmlformats.org/spreadsheetml/2006/main" count="159" uniqueCount="119">
  <si>
    <t>Part 1</t>
  </si>
  <si>
    <t>Yellow cells are cells in which to enter answers. Please give one answer in each column for each question. Reminder: The differences between your answers in the two columns are crucial in the analysis, so please pay special attention to them. Instead of using round numbers in both columns, please set the difference between the values in the two columns so that it is your best, most precise guess of the expected value of the effect that enactment of the Legislation would have. Please do this on the Part 3 worksheet as well.</t>
  </si>
  <si>
    <t>1. Please use the same year’s dollars throughout all of your answers. What year’s dollars do you use below?</t>
  </si>
  <si>
    <r>
      <t>Answer Explanations</t>
    </r>
    <r>
      <rPr>
        <sz val="11"/>
        <color theme="1"/>
        <rFont val="Calibri"/>
        <family val="2"/>
        <scheme val="minor"/>
      </rPr>
      <t>. Can explain in the boxes below and/or in separate document. Answers can be larger than the boxes, need not be entirely visible in box.</t>
    </r>
  </si>
  <si>
    <t>If the Legislation is enacted</t>
  </si>
  <si>
    <t>If the Legislation is not enacted</t>
  </si>
  <si>
    <t>5. What subtype do you think is the second most likely to be the most cost-competitive to develop in 2035? Please describe the technology in at least a few words and explain your choice.</t>
  </si>
  <si>
    <t>Please see Parts 2 and 3 for the rest of the questions</t>
  </si>
  <si>
    <t>In answering the questions you have answered so far, have you done the following?</t>
  </si>
  <si>
    <t>Yes</t>
  </si>
  <si>
    <t>No</t>
  </si>
  <si>
    <t>Set the difference between the values in each pair of columns so that it is your best, most precise guess of the expected value of the effect that enactment of the Legislation would have?</t>
  </si>
  <si>
    <t>Assumed enactment of the Legislation would increase federal government funding for ten years (2022-2031) relative to the case without the Legislation?</t>
  </si>
  <si>
    <t>Included indirect effects, e.g. the possibility that enactment could change private RD&amp;D or commercial deployment and consequently further change costs?</t>
  </si>
  <si>
    <t>Given cost estimates that do not reflect subsidies?</t>
  </si>
  <si>
    <t>Given cost estimates that are otherwise all-inclusive? For example, including all the costs of developing the facility, including the cost of financing it during construction?</t>
  </si>
  <si>
    <t>Please also follow this checklist when answering Part 3. Thank you very much!</t>
  </si>
  <si>
    <t>90th percentile</t>
  </si>
  <si>
    <t>50th percentile</t>
  </si>
  <si>
    <t>10th percentile</t>
  </si>
  <si>
    <t>Item</t>
  </si>
  <si>
    <t>Description of what to enter</t>
  </si>
  <si>
    <r>
      <t>Answer Explanations.</t>
    </r>
    <r>
      <rPr>
        <b/>
        <sz val="11"/>
        <color theme="1"/>
        <rFont val="Calibri"/>
        <family val="2"/>
        <scheme val="minor"/>
      </rPr>
      <t xml:space="preserve"> </t>
    </r>
    <r>
      <rPr>
        <sz val="11"/>
        <color theme="1"/>
        <rFont val="Calibri"/>
        <family val="2"/>
        <scheme val="minor"/>
      </rPr>
      <t>Can explain in the boxes below and/or in separate document. Answers can be larger than the boxes, need not be entirely visible in box.</t>
    </r>
  </si>
  <si>
    <t>Without Legislation</t>
  </si>
  <si>
    <t>With Legislation</t>
  </si>
  <si>
    <t>Capital Recovery Factor</t>
  </si>
  <si>
    <t xml:space="preserve">Percentage of the cost to build that is allocated to each year of plant's expected operating life. Calculated automatically once WACC and operating life are entered. </t>
  </si>
  <si>
    <t>How much each kW of electric power output capacity (after-losses discharge rate) contributes to the total capital expenditure necessary to develop the facility. Take into account potential differences not just in overnight cost but also in construction time and weighted average cost of capital during construction. The end of the Part 3 instructions explains.</t>
  </si>
  <si>
    <t>How much each after-losses kWh of energy capacity (total after-losses kWh dischargeable without recharging) contributes to the total capital expenditure necessary to develop the facility. Take into account potential differences not just in overnight cost but also in construction time and weighted average cost of capital during construction.</t>
  </si>
  <si>
    <t>Storage Power Annual FOM ($/kW)</t>
  </si>
  <si>
    <t>How much each kW of electric power output capacity contributes to the average annual fixed cost of the plant over its operating life. This should include fixed operating &amp; maintenance expenses as well as post-construction capital expenditures. It should not include the costs of building the facility, as they are the subject of an earlier question.</t>
  </si>
  <si>
    <t>Storage Energy Annual FOM ($/kWh of storage capacity)</t>
  </si>
  <si>
    <t>How much each after-losses kWh of energy capacity contributes to the average annual fixed cost of the plant over its operating life. This should include fixed operating &amp; maintenance expenses as well as post-construction capital expenditures. It should not include the costs of building the facility, as they are the subject of an earlier question.</t>
  </si>
  <si>
    <t>Variable operating and maintenance cost per after-losses MWh discharged, not including energy input costs. Include estimated dollar value of any components and inputs (other than energy) that need to be replaced sooner as a result of greater use and estimated dollar value of any capacity degradation or efficiency degradation resulting from greater use.</t>
  </si>
  <si>
    <t>Duration (hours)</t>
  </si>
  <si>
    <t>What duration would you like to assume in the calculation of LCOS? 
Duration = Energy capacity (kWh) / Power capacity (kW) = Number of hours the system can discharge at maximum sustainable output rate, starting from a full charge.</t>
  </si>
  <si>
    <t>Operating life (years)</t>
  </si>
  <si>
    <t>Expected operating lifetime in years (of the facility, not of the components whose replacement you included in your variable or annual fixed cost estimates)</t>
  </si>
  <si>
    <t>Capacity factor (%)</t>
  </si>
  <si>
    <t>Please provide information below about the electricity and fuel , if any, needed by the facility. 
You may omit fuels needed in trivial quantities or with trivial probabilities. Leave unneeded rows blank.</t>
  </si>
  <si>
    <t>Energy Input Costs ($ per discharged MWh)</t>
  </si>
  <si>
    <t>This row will automatically update using your answers from below</t>
  </si>
  <si>
    <t>Electrical energy</t>
  </si>
  <si>
    <t>Electrical Energy</t>
  </si>
  <si>
    <t>Electrical energy used to charge storage system</t>
  </si>
  <si>
    <t>Units</t>
  </si>
  <si>
    <t>Units of measurement</t>
  </si>
  <si>
    <t>Probability</t>
  </si>
  <si>
    <t>What is the probability that such a plant, if operated, would require this fuel? (0 to 1)</t>
  </si>
  <si>
    <t>How many MWh would the facility require per after-losses MWh that it discharges? This is 1/(round-trip efficiency).</t>
  </si>
  <si>
    <t>Cost per unit</t>
  </si>
  <si>
    <t>If the storage system requires an energy input other than electrical energy, answer about it here.</t>
  </si>
  <si>
    <t>Co-product 1</t>
  </si>
  <si>
    <t>Name of co-product 1</t>
  </si>
  <si>
    <t>What are the units you use to measure this product?</t>
  </si>
  <si>
    <t>What is the probability that such a plant, if operated, would produce this product? (0 to 1)</t>
  </si>
  <si>
    <t>Is there an incremental cost of producing this co-product, that is not included in the costs reported above? If so, report total incremental cost divided by units produced.</t>
  </si>
  <si>
    <t>Price per unit</t>
  </si>
  <si>
    <t>What would be the price received by the plant, per unit, if it produced this product? </t>
  </si>
  <si>
    <t>Co-product 2</t>
  </si>
  <si>
    <t>Name of co-product 2</t>
  </si>
  <si>
    <t>Co-product 3</t>
  </si>
  <si>
    <t>Name of co-product 3</t>
  </si>
  <si>
    <t>Co-product 4</t>
  </si>
  <si>
    <t>Name of co-product 4</t>
  </si>
  <si>
    <t>Tech Type for workbook</t>
  </si>
  <si>
    <t>stor</t>
  </si>
  <si>
    <t>Tech</t>
  </si>
  <si>
    <t>techname</t>
  </si>
  <si>
    <t>plantname</t>
  </si>
  <si>
    <t>planttypes</t>
  </si>
  <si>
    <r>
      <t xml:space="preserve">Your six levelized costs will each be plotted on this number line once calculated. 
Also, click </t>
    </r>
    <r>
      <rPr>
        <u/>
        <sz val="11"/>
        <color theme="10"/>
        <rFont val="Calibri"/>
        <family val="2"/>
        <scheme val="minor"/>
      </rPr>
      <t>here</t>
    </r>
    <r>
      <rPr>
        <sz val="11"/>
        <color theme="10"/>
        <rFont val="Calibri"/>
        <family val="2"/>
        <scheme val="minor"/>
      </rPr>
      <t xml:space="preserve"> to go to a webpage where you can enter your percentiles and see a probability distribution fitted to them, as a way of checking the position of your 50th percentile relative to your 90th and 10th percentiles.</t>
    </r>
  </si>
  <si>
    <t>nuc</t>
  </si>
  <si>
    <t>nuclear fission power</t>
  </si>
  <si>
    <t>nuclear fission power plant</t>
  </si>
  <si>
    <t>small modular light water, thorium molten salt</t>
  </si>
  <si>
    <t>large light water, small modular light water, thorium molten salt, uranium high-temperature gas</t>
  </si>
  <si>
    <t>ccs</t>
  </si>
  <si>
    <t>NG-CCS</t>
  </si>
  <si>
    <t>NG-fueled electric power plant with CO2 capture</t>
  </si>
  <si>
    <t>Allam cycle, pressurized solid oxide fuel cell</t>
  </si>
  <si>
    <t>pressurized solid oxide fuel cell, supercritical direct CO2, NGCC with post-combustion amine-based capture</t>
  </si>
  <si>
    <t>dac</t>
  </si>
  <si>
    <t>direct air capture</t>
  </si>
  <si>
    <t>direct air capture facility</t>
  </si>
  <si>
    <t>liquid sorbent, solid sorbent</t>
  </si>
  <si>
    <t>diurnal electricity storage</t>
  </si>
  <si>
    <t>diurnal electricity storage facility</t>
  </si>
  <si>
    <t>lithium ion batteries, supercapacitors</t>
  </si>
  <si>
    <t>lithium ion batteries, supercapacitors, flywheels</t>
  </si>
  <si>
    <t>geo</t>
  </si>
  <si>
    <t>enhanced geothermal</t>
  </si>
  <si>
    <t>enhanced geothermal plant</t>
  </si>
  <si>
    <t>flash supercritical, closed loop</t>
  </si>
  <si>
    <t>flash, binary</t>
  </si>
  <si>
    <t>mdstor</t>
  </si>
  <si>
    <t>non-hydro multi-day electricity storage</t>
  </si>
  <si>
    <t>non-hydro multi-day electricity storage facility</t>
  </si>
  <si>
    <t>vanadium flow batteries, hydrogen electrolysis</t>
  </si>
  <si>
    <t>flow batteries, compressed air, hydrogen made from electricity</t>
  </si>
  <si>
    <t>90th</t>
  </si>
  <si>
    <t>50th</t>
  </si>
  <si>
    <t>10th</t>
  </si>
  <si>
    <t>Forced outage rate (%)</t>
  </si>
  <si>
    <t>Total outage rate (%)</t>
  </si>
  <si>
    <t>What average price of input electrical energy would you like to assume in the calculation of LCOS? Enter in column A. Same value will be used in all six columns. If you prefer to leave electricity cost out of LCOS, enter zero.</t>
  </si>
  <si>
    <t>LCOS ($/MWh discharged) 
chosen by you</t>
  </si>
  <si>
    <t>PLEASE MAKE THE ROW BELOW AND THE ROW ABOVE MATCH TO WITHIN 1%.</t>
  </si>
  <si>
    <t>Plot of the LCOS $/MWh values you entered above</t>
  </si>
  <si>
    <t>Included only technologies that meet the 50 GW criterion described in the instructions?</t>
  </si>
  <si>
    <r>
      <t xml:space="preserve">Your six levelized costs that you enter above will each be plotted on this number line. 
Also, click </t>
    </r>
    <r>
      <rPr>
        <u/>
        <sz val="11"/>
        <color theme="10"/>
        <rFont val="Calibri"/>
        <family val="2"/>
        <scheme val="minor"/>
      </rPr>
      <t>here</t>
    </r>
    <r>
      <rPr>
        <sz val="11"/>
        <color theme="10"/>
        <rFont val="Calibri"/>
        <family val="2"/>
        <scheme val="minor"/>
      </rPr>
      <t xml:space="preserve"> to go to a webpage where you can enter any trio of 90th, 50th, and 10th percentiles and see a probability distribution fitted to them, as a way of checking whether you are happy with the relative positions of your 90th, 50th, and 10th percentiles.</t>
    </r>
  </si>
  <si>
    <t>LCOS ($/MWh discharged) calculated from below</t>
  </si>
  <si>
    <t>What capacity factor (CF) would you like to assume for the calculation of LCOS? 
CF = Annual after-losses energy discharged / (after-losses power output capacity * 8760).
It is fine to leave it the same across the six columns, or to project it in each of the six cases.</t>
  </si>
  <si>
    <t>Real Post-Construction WACC (%)</t>
  </si>
  <si>
    <t>Weighted average real cost of capital in % per year, during operations (i.e. after construction is complete). This is the weighted average of the real required expected rate of return on equity and the after-tax real cost of debt, weighted by the expected shares of equity and debt in financing the plant, once the plant is online. (WACC during development/construction should be included in capital cost answers above.)</t>
  </si>
  <si>
    <t>Real post-construction WACC (%) for wind farms</t>
  </si>
  <si>
    <t>Weighted average real cost of capital in % per year, during operations (i.e. after construction is complete) for wind farms planned in 2035 and subsequently built. This is the weighted average of the real required expected rate of return on equity and the after-tax real cost of debt, weighted by the expected shares of equity and debt in financing the plant, once the plant is online. We ask for this so that we can calibrate your WACC answers, to be able to harmonize financial assumptions across the answers of the five diurnal storage cost experts. Your wind WACC answers should be for the diurnal storage 90th, 50th, and 10th percentile scenarios, not for wind 90th, 50th, and 10th percentile scenarios. However, cost of capital in general might contribute to the diurnal storage cost differences across the six scenarios, which is why the wind WACC too might vary across the six scenarios.</t>
  </si>
  <si>
    <t>Average percentage derating of facility’s power capacity due to unplanned outages, taking into account both complete and partial outages.</t>
  </si>
  <si>
    <t>Average percentage derating of facility’s power capacity due to forced outages and planned maintenance outages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</si>
</sst>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u/>
      <sz val="11"/>
      <color theme="1"/>
      <name val="Calibri"/>
      <family val="2"/>
      <scheme val="minor"/>
    </font>
    <font>
      <b/>
      <sz val="11"/>
      <color theme="1"/>
      <name val="Calibri"/>
      <family val="2"/>
      <scheme val="minor"/>
    </font>
    <font>
      <sz val="11"/>
      <color theme="0" tint="-0.499984740745262"/>
      <name val="Calibri"/>
      <family val="2"/>
      <scheme val="minor"/>
    </font>
    <font>
      <sz val="11"/>
      <color rgb="FF3F3F76"/>
      <name val="Calibri"/>
      <family val="2"/>
      <scheme val="minor"/>
    </font>
    <font>
      <b/>
      <u/>
      <sz val="11"/>
      <color theme="1"/>
      <name val="Calibri"/>
      <family val="2"/>
      <scheme val="minor"/>
    </font>
    <font>
      <sz val="11"/>
      <color theme="1"/>
      <name val="Calibri"/>
      <family val="2"/>
      <scheme val="minor"/>
    </font>
    <font>
      <u/>
      <sz val="11"/>
      <color theme="10"/>
      <name val="Calibri"/>
      <family val="2"/>
      <scheme val="minor"/>
    </font>
    <font>
      <sz val="11"/>
      <color theme="10"/>
      <name val="Calibri"/>
      <family val="2"/>
      <scheme val="minor"/>
    </font>
    <font>
      <b/>
      <i/>
      <sz val="12"/>
      <color theme="1"/>
      <name val="Times New Roman"/>
      <family val="1"/>
    </font>
    <font>
      <i/>
      <sz val="11"/>
      <color theme="1"/>
      <name val="Calibri"/>
      <family val="2"/>
      <scheme val="minor"/>
    </font>
    <font>
      <sz val="11"/>
      <name val="Calibri"/>
      <family val="2"/>
      <scheme val="minor"/>
    </font>
    <font>
      <b/>
      <sz val="11"/>
      <color rgb="FF3F3F76"/>
      <name val="Calibri"/>
      <family val="2"/>
      <scheme val="minor"/>
    </font>
  </fonts>
  <fills count="6">
    <fill>
      <patternFill patternType="none"/>
    </fill>
    <fill>
      <patternFill patternType="gray125"/>
    </fill>
    <fill>
      <patternFill patternType="solid">
        <fgColor rgb="FFFFCC99"/>
      </patternFill>
    </fill>
    <fill>
      <patternFill patternType="solid">
        <fgColor rgb="FFFFF2CC"/>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rgb="FFBFBFBF"/>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diagonal/>
    </border>
    <border>
      <left style="thin">
        <color indexed="64"/>
      </left>
      <right style="thin">
        <color rgb="FF7F7F7F"/>
      </right>
      <top style="thin">
        <color indexed="64"/>
      </top>
      <bottom style="thin">
        <color rgb="FF7F7F7F"/>
      </bottom>
      <diagonal/>
    </border>
    <border>
      <left style="thin">
        <color rgb="FF7F7F7F"/>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top style="thin">
        <color rgb="FF7F7F7F"/>
      </top>
      <bottom style="thin">
        <color rgb="FF7F7F7F"/>
      </bottom>
      <diagonal/>
    </border>
    <border>
      <left style="thin">
        <color rgb="FF7F7F7F"/>
      </left>
      <right/>
      <top style="thin">
        <color indexed="64"/>
      </top>
      <bottom style="thin">
        <color rgb="FF7F7F7F"/>
      </bottom>
      <diagonal/>
    </border>
    <border>
      <left style="thin">
        <color rgb="FF7F7F7F"/>
      </left>
      <right style="thin">
        <color rgb="FF7F7F7F"/>
      </right>
      <top/>
      <bottom/>
      <diagonal/>
    </border>
    <border>
      <left/>
      <right/>
      <top style="thin">
        <color indexed="64"/>
      </top>
      <bottom/>
      <diagonal/>
    </border>
    <border>
      <left style="thin">
        <color rgb="FF7F7F7F"/>
      </left>
      <right style="thin">
        <color indexed="64"/>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style="thin">
        <color rgb="FF7F7F7F"/>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diagonal/>
    </border>
    <border>
      <left style="thin">
        <color indexed="64"/>
      </left>
      <right style="thin">
        <color indexed="64"/>
      </right>
      <top style="thin">
        <color rgb="FF7F7F7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7F7F7F"/>
      </bottom>
      <diagonal/>
    </border>
    <border>
      <left style="thin">
        <color rgb="FF7F7F7F"/>
      </left>
      <right/>
      <top/>
      <bottom style="thin">
        <color rgb="FF7F7F7F"/>
      </bottom>
      <diagonal/>
    </border>
    <border>
      <left/>
      <right/>
      <top/>
      <bottom style="thin">
        <color indexed="64"/>
      </bottom>
      <diagonal/>
    </border>
  </borders>
  <cellStyleXfs count="5">
    <xf numFmtId="0" fontId="0" fillId="0" borderId="0"/>
    <xf numFmtId="0" fontId="4" fillId="2" borderId="2" applyNumberFormat="0" applyAlignment="0" applyProtection="0"/>
    <xf numFmtId="9"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cellStyleXfs>
  <cellXfs count="150">
    <xf numFmtId="0" fontId="0" fillId="0" borderId="0" xfId="0"/>
    <xf numFmtId="0" fontId="0" fillId="0" borderId="0" xfId="0" applyAlignment="1">
      <alignment wrapText="1"/>
    </xf>
    <xf numFmtId="0" fontId="3" fillId="0" borderId="0" xfId="0" applyFont="1"/>
    <xf numFmtId="0" fontId="2" fillId="0" borderId="0" xfId="0" applyFont="1"/>
    <xf numFmtId="0" fontId="0" fillId="0" borderId="0" xfId="0" applyAlignment="1">
      <alignment wrapText="1"/>
    </xf>
    <xf numFmtId="0" fontId="0" fillId="0" borderId="6" xfId="0" applyBorder="1"/>
    <xf numFmtId="0" fontId="2" fillId="0" borderId="9" xfId="0" applyFont="1" applyBorder="1"/>
    <xf numFmtId="0" fontId="0" fillId="0" borderId="10" xfId="0" applyBorder="1"/>
    <xf numFmtId="0" fontId="0" fillId="0" borderId="0" xfId="0" applyBorder="1" applyAlignment="1">
      <alignment vertical="center"/>
    </xf>
    <xf numFmtId="0" fontId="1" fillId="0" borderId="0" xfId="0" applyFont="1" applyBorder="1" applyAlignment="1">
      <alignment horizontal="center" vertical="center" wrapText="1"/>
    </xf>
    <xf numFmtId="0" fontId="0" fillId="0" borderId="0" xfId="0" applyFont="1" applyBorder="1" applyAlignment="1"/>
    <xf numFmtId="0" fontId="1" fillId="0" borderId="7" xfId="0" applyFont="1" applyBorder="1" applyAlignment="1">
      <alignment horizontal="center" vertical="center" wrapText="1"/>
    </xf>
    <xf numFmtId="0" fontId="2" fillId="0" borderId="8" xfId="0" applyFont="1" applyBorder="1" applyAlignment="1" applyProtection="1">
      <alignment horizontal="center"/>
      <protection hidden="1"/>
    </xf>
    <xf numFmtId="0" fontId="2" fillId="0" borderId="1" xfId="0" applyFont="1" applyBorder="1" applyAlignment="1" applyProtection="1">
      <alignment horizontal="center"/>
      <protection hidden="1"/>
    </xf>
    <xf numFmtId="0" fontId="0" fillId="0" borderId="3" xfId="0" applyBorder="1" applyAlignment="1" applyProtection="1">
      <alignment wrapText="1"/>
      <protection hidden="1"/>
    </xf>
    <xf numFmtId="0" fontId="2" fillId="0" borderId="5" xfId="0" applyFont="1" applyBorder="1" applyProtection="1">
      <protection hidden="1"/>
    </xf>
    <xf numFmtId="2" fontId="0" fillId="0" borderId="0" xfId="0" applyNumberFormat="1" applyBorder="1" applyProtection="1">
      <protection hidden="1"/>
    </xf>
    <xf numFmtId="0" fontId="4" fillId="3" borderId="18" xfId="1" applyFill="1" applyBorder="1" applyProtection="1">
      <protection locked="0"/>
    </xf>
    <xf numFmtId="0" fontId="4" fillId="3" borderId="2" xfId="1" applyFill="1" applyProtection="1">
      <protection locked="0"/>
    </xf>
    <xf numFmtId="0" fontId="4" fillId="3" borderId="13" xfId="1" applyFill="1" applyBorder="1" applyProtection="1">
      <protection locked="0"/>
    </xf>
    <xf numFmtId="9" fontId="4" fillId="3" borderId="13" xfId="2" applyFont="1" applyFill="1" applyBorder="1" applyProtection="1">
      <protection locked="0"/>
    </xf>
    <xf numFmtId="9" fontId="4" fillId="3" borderId="17" xfId="2" applyFont="1" applyFill="1" applyBorder="1" applyProtection="1">
      <protection locked="0"/>
    </xf>
    <xf numFmtId="0" fontId="4" fillId="3" borderId="17" xfId="1" applyFill="1" applyBorder="1" applyProtection="1">
      <protection locked="0"/>
    </xf>
    <xf numFmtId="0" fontId="5" fillId="0" borderId="5" xfId="0" applyFont="1" applyBorder="1" applyAlignment="1" applyProtection="1">
      <alignment vertical="center" wrapText="1"/>
      <protection hidden="1"/>
    </xf>
    <xf numFmtId="0" fontId="0" fillId="0" borderId="6" xfId="0" applyBorder="1" applyProtection="1">
      <protection hidden="1"/>
    </xf>
    <xf numFmtId="0" fontId="2" fillId="0" borderId="7" xfId="0" applyFont="1" applyBorder="1" applyAlignment="1" applyProtection="1">
      <alignment horizontal="left" vertical="center" wrapText="1" indent="1"/>
      <protection hidden="1"/>
    </xf>
    <xf numFmtId="0" fontId="0" fillId="0" borderId="1" xfId="0" applyBorder="1" applyProtection="1">
      <protection hidden="1"/>
    </xf>
    <xf numFmtId="0" fontId="2" fillId="0" borderId="9" xfId="0" applyFont="1" applyBorder="1" applyAlignment="1" applyProtection="1">
      <alignment horizontal="left" vertical="center" wrapText="1" indent="1"/>
      <protection hidden="1"/>
    </xf>
    <xf numFmtId="0" fontId="0" fillId="0" borderId="10" xfId="0" applyBorder="1" applyAlignment="1" applyProtection="1">
      <alignment wrapText="1"/>
      <protection hidden="1"/>
    </xf>
    <xf numFmtId="0" fontId="0" fillId="0" borderId="5" xfId="0" applyBorder="1" applyAlignment="1" applyProtection="1">
      <alignment vertical="center"/>
      <protection hidden="1"/>
    </xf>
    <xf numFmtId="0" fontId="2" fillId="0" borderId="7" xfId="0" applyFont="1" applyBorder="1" applyAlignment="1" applyProtection="1">
      <alignment vertical="center" wrapText="1"/>
      <protection hidden="1"/>
    </xf>
    <xf numFmtId="0" fontId="2" fillId="0" borderId="9" xfId="0" applyFont="1" applyBorder="1" applyAlignment="1" applyProtection="1">
      <alignment vertical="center" wrapText="1"/>
      <protection hidden="1"/>
    </xf>
    <xf numFmtId="0" fontId="0" fillId="0" borderId="10" xfId="0" applyBorder="1" applyAlignment="1" applyProtection="1">
      <alignment vertical="center" wrapText="1"/>
      <protection hidden="1"/>
    </xf>
    <xf numFmtId="0" fontId="2" fillId="0" borderId="5" xfId="0" applyFont="1" applyFill="1" applyBorder="1" applyAlignment="1" applyProtection="1">
      <alignment vertical="center" wrapText="1"/>
      <protection hidden="1"/>
    </xf>
    <xf numFmtId="2" fontId="0" fillId="0" borderId="0" xfId="0" applyNumberFormat="1"/>
    <xf numFmtId="0" fontId="0" fillId="0" borderId="10" xfId="0" applyBorder="1" applyAlignment="1" applyProtection="1">
      <alignment horizontal="left" vertical="center" wrapText="1"/>
      <protection hidden="1"/>
    </xf>
    <xf numFmtId="0" fontId="0" fillId="3" borderId="4" xfId="3" applyNumberFormat="1" applyFont="1" applyFill="1" applyBorder="1" applyAlignment="1" applyProtection="1">
      <alignment horizontal="center"/>
      <protection locked="0"/>
    </xf>
    <xf numFmtId="0" fontId="8" fillId="0" borderId="0" xfId="0" applyFont="1" applyAlignment="1">
      <alignment wrapText="1"/>
    </xf>
    <xf numFmtId="0" fontId="4" fillId="0" borderId="20" xfId="2" applyNumberFormat="1" applyFont="1" applyFill="1" applyBorder="1" applyProtection="1"/>
    <xf numFmtId="9" fontId="4" fillId="3" borderId="15" xfId="2" applyFont="1" applyFill="1" applyBorder="1" applyProtection="1">
      <protection locked="0"/>
    </xf>
    <xf numFmtId="9" fontId="4" fillId="3" borderId="19" xfId="2" applyFont="1" applyFill="1" applyBorder="1" applyProtection="1">
      <protection locked="0"/>
    </xf>
    <xf numFmtId="0" fontId="4" fillId="3" borderId="13" xfId="2" applyNumberFormat="1" applyFont="1" applyFill="1" applyBorder="1" applyProtection="1">
      <protection locked="0"/>
    </xf>
    <xf numFmtId="0" fontId="0" fillId="0" borderId="1" xfId="0" applyBorder="1" applyAlignment="1" applyProtection="1">
      <alignment wrapText="1"/>
      <protection hidden="1"/>
    </xf>
    <xf numFmtId="0" fontId="4" fillId="3" borderId="20" xfId="2" applyNumberFormat="1" applyFont="1" applyFill="1" applyBorder="1" applyProtection="1">
      <protection locked="0"/>
    </xf>
    <xf numFmtId="0" fontId="0" fillId="0" borderId="0" xfId="0" applyAlignment="1"/>
    <xf numFmtId="0" fontId="1" fillId="0" borderId="0" xfId="0" applyFont="1" applyAlignment="1">
      <alignment horizontal="center"/>
    </xf>
    <xf numFmtId="0" fontId="0" fillId="0" borderId="0" xfId="0" applyAlignment="1">
      <alignment vertical="center"/>
    </xf>
    <xf numFmtId="0" fontId="10" fillId="0" borderId="0" xfId="0" applyFont="1"/>
    <xf numFmtId="0" fontId="4" fillId="3" borderId="15" xfId="1" applyFill="1" applyBorder="1" applyProtection="1">
      <protection locked="0"/>
    </xf>
    <xf numFmtId="0" fontId="4" fillId="3" borderId="24" xfId="1" applyFill="1" applyBorder="1" applyProtection="1">
      <protection locked="0"/>
    </xf>
    <xf numFmtId="0" fontId="4" fillId="3" borderId="16" xfId="1" applyFill="1" applyBorder="1" applyProtection="1">
      <protection locked="0"/>
    </xf>
    <xf numFmtId="0" fontId="0" fillId="0" borderId="23" xfId="0" applyBorder="1" applyAlignment="1" applyProtection="1">
      <alignment vertical="center" wrapText="1"/>
      <protection hidden="1"/>
    </xf>
    <xf numFmtId="9" fontId="4" fillId="3" borderId="2" xfId="2" applyFont="1" applyFill="1" applyBorder="1" applyProtection="1">
      <protection locked="0"/>
    </xf>
    <xf numFmtId="164" fontId="0" fillId="3" borderId="11" xfId="3" applyNumberFormat="1" applyFont="1" applyFill="1" applyBorder="1" applyAlignment="1" applyProtection="1">
      <alignment horizontal="center"/>
      <protection locked="0"/>
    </xf>
    <xf numFmtId="164" fontId="0" fillId="3" borderId="10" xfId="3" applyNumberFormat="1" applyFont="1" applyFill="1" applyBorder="1" applyAlignment="1" applyProtection="1">
      <alignment horizontal="center"/>
      <protection locked="0"/>
    </xf>
    <xf numFmtId="0" fontId="0" fillId="3" borderId="1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3" xfId="0" applyFill="1" applyBorder="1" applyAlignment="1" applyProtection="1">
      <alignment horizontal="center" vertical="center" wrapText="1"/>
      <protection locked="0"/>
    </xf>
    <xf numFmtId="0" fontId="4" fillId="3" borderId="25" xfId="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Border="1" applyAlignment="1" applyProtection="1">
      <alignment vertical="center"/>
      <protection locked="0"/>
    </xf>
    <xf numFmtId="0" fontId="0" fillId="0" borderId="0" xfId="0" applyBorder="1" applyProtection="1">
      <protection locked="0"/>
    </xf>
    <xf numFmtId="0" fontId="3" fillId="0" borderId="0" xfId="0" applyFont="1" applyProtection="1">
      <protection locked="0"/>
    </xf>
    <xf numFmtId="9" fontId="11" fillId="3" borderId="26" xfId="2" applyFont="1" applyFill="1" applyBorder="1" applyAlignment="1" applyProtection="1">
      <alignment wrapText="1"/>
      <protection locked="0"/>
    </xf>
    <xf numFmtId="0" fontId="11" fillId="3" borderId="26" xfId="1" applyFont="1" applyFill="1" applyBorder="1" applyAlignment="1" applyProtection="1">
      <alignment wrapText="1"/>
      <protection locked="0"/>
    </xf>
    <xf numFmtId="0" fontId="11" fillId="3" borderId="8" xfId="2" applyNumberFormat="1" applyFont="1" applyFill="1" applyBorder="1" applyAlignment="1" applyProtection="1">
      <alignment wrapText="1"/>
      <protection locked="0"/>
    </xf>
    <xf numFmtId="9" fontId="11" fillId="3" borderId="27" xfId="2" applyFont="1" applyFill="1" applyBorder="1" applyAlignment="1" applyProtection="1">
      <alignment wrapText="1"/>
      <protection locked="0"/>
    </xf>
    <xf numFmtId="9" fontId="11" fillId="3" borderId="28" xfId="2" applyFont="1" applyFill="1" applyBorder="1" applyAlignment="1" applyProtection="1">
      <alignment wrapText="1"/>
      <protection locked="0"/>
    </xf>
    <xf numFmtId="0" fontId="11" fillId="0" borderId="0" xfId="0" applyFont="1" applyAlignment="1" applyProtection="1">
      <alignment wrapText="1"/>
      <protection locked="0"/>
    </xf>
    <xf numFmtId="0" fontId="11" fillId="3" borderId="25" xfId="1" applyFont="1" applyFill="1" applyBorder="1" applyAlignment="1" applyProtection="1">
      <alignment wrapText="1"/>
      <protection locked="0"/>
    </xf>
    <xf numFmtId="0" fontId="0" fillId="0" borderId="1" xfId="0" applyBorder="1" applyAlignment="1" applyProtection="1">
      <alignment vertical="center" wrapText="1"/>
      <protection hidden="1"/>
    </xf>
    <xf numFmtId="0" fontId="4" fillId="3" borderId="31" xfId="1" applyFill="1" applyBorder="1" applyProtection="1">
      <protection locked="0"/>
    </xf>
    <xf numFmtId="0" fontId="4" fillId="3" borderId="30" xfId="1" applyFill="1" applyBorder="1" applyAlignment="1" applyProtection="1">
      <alignment wrapText="1"/>
      <protection locked="0"/>
    </xf>
    <xf numFmtId="0" fontId="11" fillId="3" borderId="8" xfId="1" applyFont="1" applyFill="1" applyBorder="1" applyAlignment="1" applyProtection="1">
      <alignment wrapText="1"/>
      <protection locked="0"/>
    </xf>
    <xf numFmtId="0" fontId="2" fillId="0" borderId="7" xfId="0" applyFont="1" applyFill="1" applyBorder="1" applyAlignment="1" applyProtection="1">
      <alignment vertical="center" wrapText="1"/>
      <protection hidden="1"/>
    </xf>
    <xf numFmtId="0" fontId="0" fillId="0" borderId="1" xfId="0" applyFont="1" applyFill="1" applyBorder="1" applyAlignment="1" applyProtection="1">
      <alignment horizontal="left" vertical="center" wrapText="1"/>
      <protection hidden="1"/>
    </xf>
    <xf numFmtId="0" fontId="0" fillId="0" borderId="1" xfId="0" applyFill="1" applyBorder="1" applyAlignment="1" applyProtection="1">
      <alignment wrapText="1"/>
      <protection hidden="1"/>
    </xf>
    <xf numFmtId="0" fontId="0" fillId="0" borderId="1" xfId="0" applyFill="1" applyBorder="1" applyAlignment="1" applyProtection="1">
      <alignment vertical="center" wrapText="1"/>
      <protection hidden="1"/>
    </xf>
    <xf numFmtId="0" fontId="2" fillId="0" borderId="9" xfId="0" applyFont="1" applyFill="1" applyBorder="1" applyAlignment="1" applyProtection="1">
      <alignment vertical="center" wrapText="1"/>
      <protection hidden="1"/>
    </xf>
    <xf numFmtId="0" fontId="0" fillId="0" borderId="10" xfId="0" applyFill="1" applyBorder="1" applyAlignment="1" applyProtection="1">
      <alignment vertical="center" wrapText="1"/>
      <protection hidden="1"/>
    </xf>
    <xf numFmtId="0" fontId="0" fillId="0" borderId="7" xfId="0" applyFill="1" applyBorder="1"/>
    <xf numFmtId="0" fontId="0" fillId="0" borderId="0" xfId="0" applyFill="1" applyBorder="1"/>
    <xf numFmtId="0" fontId="0" fillId="0" borderId="10" xfId="0" applyFill="1" applyBorder="1" applyAlignment="1" applyProtection="1">
      <alignment horizontal="left" vertical="center" wrapText="1"/>
      <protection hidden="1"/>
    </xf>
    <xf numFmtId="0" fontId="5" fillId="0" borderId="5" xfId="0" applyFont="1" applyFill="1" applyBorder="1" applyAlignment="1" applyProtection="1">
      <alignment vertical="center" wrapText="1"/>
      <protection hidden="1"/>
    </xf>
    <xf numFmtId="0" fontId="0" fillId="0" borderId="6" xfId="0" applyFill="1" applyBorder="1" applyAlignment="1" applyProtection="1">
      <alignment vertical="center" wrapText="1"/>
      <protection hidden="1"/>
    </xf>
    <xf numFmtId="0" fontId="2" fillId="0" borderId="7" xfId="0" applyFont="1" applyFill="1" applyBorder="1" applyAlignment="1" applyProtection="1">
      <alignment horizontal="left" vertical="center" wrapText="1" indent="1"/>
      <protection hidden="1"/>
    </xf>
    <xf numFmtId="0" fontId="4" fillId="0" borderId="2" xfId="1" applyFill="1" applyProtection="1">
      <protection locked="0"/>
    </xf>
    <xf numFmtId="0" fontId="4" fillId="0" borderId="18" xfId="1" applyFill="1" applyBorder="1" applyProtection="1">
      <protection locked="0"/>
    </xf>
    <xf numFmtId="0" fontId="0" fillId="0" borderId="10" xfId="0" applyFill="1" applyBorder="1" applyAlignment="1" applyProtection="1">
      <alignment wrapText="1"/>
      <protection hidden="1"/>
    </xf>
    <xf numFmtId="0" fontId="0" fillId="0" borderId="6" xfId="0" applyFill="1" applyBorder="1" applyProtection="1">
      <protection hidden="1"/>
    </xf>
    <xf numFmtId="0" fontId="0" fillId="0" borderId="1" xfId="0" applyFill="1" applyBorder="1" applyProtection="1">
      <protection hidden="1"/>
    </xf>
    <xf numFmtId="0" fontId="5" fillId="0" borderId="7" xfId="0" applyFont="1" applyBorder="1" applyAlignment="1" applyProtection="1">
      <alignment horizontal="left" vertical="center" wrapText="1"/>
      <protection locked="0"/>
    </xf>
    <xf numFmtId="0" fontId="4" fillId="3" borderId="2" xfId="2" applyNumberFormat="1" applyFont="1" applyFill="1" applyBorder="1" applyProtection="1">
      <protection locked="0"/>
    </xf>
    <xf numFmtId="0" fontId="2" fillId="0" borderId="0" xfId="0" applyFont="1" applyAlignment="1" applyProtection="1">
      <alignment vertical="center" wrapText="1"/>
      <protection hidden="1"/>
    </xf>
    <xf numFmtId="0" fontId="2" fillId="0" borderId="0" xfId="0" applyFont="1" applyBorder="1" applyAlignment="1" applyProtection="1">
      <alignment vertical="center" wrapText="1"/>
      <protection hidden="1"/>
    </xf>
    <xf numFmtId="0" fontId="4" fillId="5" borderId="15" xfId="1" applyFill="1" applyBorder="1" applyProtection="1"/>
    <xf numFmtId="0" fontId="8" fillId="0" borderId="1" xfId="4" applyFont="1" applyFill="1" applyBorder="1" applyAlignment="1" applyProtection="1">
      <alignment vertical="center" wrapText="1"/>
      <protection hidden="1"/>
    </xf>
    <xf numFmtId="0" fontId="0" fillId="0" borderId="1" xfId="0" applyFont="1" applyFill="1" applyBorder="1" applyAlignment="1" applyProtection="1">
      <alignment vertical="center" wrapText="1"/>
      <protection hidden="1"/>
    </xf>
    <xf numFmtId="0" fontId="4" fillId="5" borderId="13" xfId="1" applyFill="1" applyBorder="1" applyProtection="1"/>
    <xf numFmtId="0" fontId="4" fillId="5" borderId="17" xfId="1" applyFill="1" applyBorder="1" applyProtection="1"/>
    <xf numFmtId="0" fontId="4" fillId="5" borderId="22" xfId="1" applyFill="1" applyBorder="1" applyProtection="1"/>
    <xf numFmtId="0" fontId="4" fillId="5" borderId="24" xfId="1" applyFill="1" applyBorder="1" applyProtection="1"/>
    <xf numFmtId="0" fontId="4" fillId="5" borderId="31" xfId="1" applyFill="1" applyBorder="1" applyProtection="1"/>
    <xf numFmtId="0" fontId="2" fillId="0" borderId="7" xfId="0" applyFont="1" applyBorder="1" applyAlignment="1">
      <alignment horizontal="center" wrapText="1"/>
    </xf>
    <xf numFmtId="0" fontId="2" fillId="0" borderId="1" xfId="0" applyFont="1" applyBorder="1" applyAlignment="1">
      <alignment horizontal="center" wrapText="1"/>
    </xf>
    <xf numFmtId="0" fontId="9" fillId="0" borderId="7"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0" fillId="0" borderId="5" xfId="0" applyBorder="1" applyAlignment="1" applyProtection="1">
      <alignment wrapText="1"/>
      <protection hidden="1"/>
    </xf>
    <xf numFmtId="0" fontId="0" fillId="0" borderId="6" xfId="0" applyBorder="1" applyAlignment="1" applyProtection="1">
      <alignment wrapText="1"/>
      <protection hidden="1"/>
    </xf>
    <xf numFmtId="0" fontId="0" fillId="0" borderId="5" xfId="0" applyFont="1" applyBorder="1" applyAlignment="1" applyProtection="1">
      <alignment wrapText="1"/>
      <protection hidden="1"/>
    </xf>
    <xf numFmtId="0" fontId="0" fillId="0" borderId="6" xfId="0" applyFont="1" applyBorder="1" applyAlignment="1" applyProtection="1">
      <alignment wrapText="1"/>
      <protection hidden="1"/>
    </xf>
    <xf numFmtId="0" fontId="0" fillId="0" borderId="7" xfId="0" applyBorder="1" applyAlignment="1">
      <alignment horizontal="center"/>
    </xf>
    <xf numFmtId="0" fontId="0" fillId="0" borderId="1" xfId="0" applyBorder="1" applyAlignment="1">
      <alignment horizontal="center"/>
    </xf>
    <xf numFmtId="0" fontId="0" fillId="0" borderId="5" xfId="0" applyBorder="1" applyAlignment="1" applyProtection="1">
      <alignment horizontal="left" wrapText="1"/>
      <protection hidden="1"/>
    </xf>
    <xf numFmtId="0" fontId="0" fillId="0" borderId="6" xfId="0" applyBorder="1" applyAlignment="1" applyProtection="1">
      <alignment horizontal="left" wrapText="1"/>
      <protection hidden="1"/>
    </xf>
    <xf numFmtId="0" fontId="11" fillId="3" borderId="27" xfId="2" applyNumberFormat="1" applyFont="1" applyFill="1" applyBorder="1" applyAlignment="1" applyProtection="1">
      <alignment wrapText="1"/>
      <protection locked="0"/>
    </xf>
    <xf numFmtId="0" fontId="11" fillId="3" borderId="30" xfId="2" applyNumberFormat="1" applyFont="1" applyFill="1" applyBorder="1" applyAlignment="1" applyProtection="1">
      <alignment wrapText="1"/>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11" fillId="3" borderId="29" xfId="1" applyFont="1" applyFill="1" applyBorder="1" applyAlignment="1" applyProtection="1">
      <alignment vertical="center" wrapText="1"/>
      <protection locked="0"/>
    </xf>
    <xf numFmtId="0" fontId="11" fillId="3" borderId="30" xfId="1" applyFont="1" applyFill="1" applyBorder="1" applyAlignment="1" applyProtection="1">
      <alignment vertical="center" wrapText="1"/>
      <protection locked="0"/>
    </xf>
    <xf numFmtId="0" fontId="11" fillId="3" borderId="27" xfId="1" applyFont="1" applyFill="1" applyBorder="1" applyAlignment="1" applyProtection="1">
      <alignment wrapText="1"/>
      <protection locked="0"/>
    </xf>
    <xf numFmtId="0" fontId="11" fillId="3" borderId="30" xfId="1" applyFont="1" applyFill="1" applyBorder="1" applyAlignment="1" applyProtection="1">
      <alignment wrapText="1"/>
      <protection locked="0"/>
    </xf>
    <xf numFmtId="0" fontId="0" fillId="0" borderId="3" xfId="0" applyBorder="1" applyAlignment="1" applyProtection="1">
      <alignment horizontal="center"/>
      <protection hidden="1"/>
    </xf>
    <xf numFmtId="0" fontId="0" fillId="0" borderId="12" xfId="0" applyBorder="1" applyAlignment="1" applyProtection="1">
      <alignment horizontal="center"/>
      <protection hidden="1"/>
    </xf>
    <xf numFmtId="0" fontId="4" fillId="3" borderId="15" xfId="1" applyFill="1" applyBorder="1" applyAlignment="1" applyProtection="1">
      <alignment horizontal="center"/>
      <protection locked="0"/>
    </xf>
    <xf numFmtId="0" fontId="4" fillId="3" borderId="16" xfId="1" applyFill="1" applyBorder="1" applyAlignment="1" applyProtection="1">
      <alignment horizontal="center"/>
      <protection locked="0"/>
    </xf>
    <xf numFmtId="0" fontId="5" fillId="0" borderId="1" xfId="0" applyFont="1" applyBorder="1" applyAlignment="1" applyProtection="1">
      <alignment horizontal="center" vertical="center" wrapText="1"/>
      <protection hidden="1"/>
    </xf>
    <xf numFmtId="0" fontId="1" fillId="0" borderId="7" xfId="0" applyFont="1" applyBorder="1" applyAlignment="1">
      <alignment horizontal="center"/>
    </xf>
    <xf numFmtId="0" fontId="1" fillId="0" borderId="0" xfId="0" applyFont="1" applyBorder="1" applyAlignment="1">
      <alignment horizontal="center"/>
    </xf>
    <xf numFmtId="0" fontId="5" fillId="0" borderId="7"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2" fillId="0" borderId="7" xfId="0" applyFont="1" applyFill="1" applyBorder="1" applyAlignment="1" applyProtection="1">
      <alignment wrapText="1"/>
      <protection hidden="1"/>
    </xf>
    <xf numFmtId="0" fontId="2" fillId="0" borderId="0" xfId="0" applyFont="1" applyFill="1" applyBorder="1" applyAlignment="1" applyProtection="1">
      <alignment wrapText="1"/>
      <protection hidden="1"/>
    </xf>
    <xf numFmtId="0" fontId="2" fillId="0" borderId="1" xfId="0" applyFont="1" applyFill="1" applyBorder="1" applyAlignment="1" applyProtection="1">
      <alignment wrapText="1"/>
      <protection hidden="1"/>
    </xf>
    <xf numFmtId="0" fontId="5" fillId="0" borderId="7" xfId="0" applyFont="1" applyBorder="1" applyAlignment="1" applyProtection="1">
      <alignment horizontal="left" vertical="center" wrapText="1"/>
      <protection locked="0"/>
    </xf>
    <xf numFmtId="0" fontId="4" fillId="3" borderId="2" xfId="1" applyFill="1" applyAlignment="1" applyProtection="1">
      <alignment horizontal="center"/>
      <protection locked="0"/>
    </xf>
    <xf numFmtId="0" fontId="4" fillId="3" borderId="14" xfId="1" applyFill="1" applyBorder="1" applyAlignment="1" applyProtection="1">
      <alignment horizontal="center"/>
      <protection locked="0"/>
    </xf>
    <xf numFmtId="0" fontId="4" fillId="3" borderId="19" xfId="1" applyFill="1" applyBorder="1" applyAlignment="1" applyProtection="1">
      <alignment horizontal="center"/>
      <protection locked="0"/>
    </xf>
    <xf numFmtId="0" fontId="4" fillId="0" borderId="14" xfId="1" applyFill="1" applyBorder="1" applyAlignment="1" applyProtection="1">
      <alignment horizontal="center"/>
      <protection locked="0"/>
    </xf>
    <xf numFmtId="0" fontId="4" fillId="0" borderId="15" xfId="1" applyFill="1" applyBorder="1" applyAlignment="1" applyProtection="1">
      <alignment horizontal="center"/>
      <protection locked="0"/>
    </xf>
    <xf numFmtId="0" fontId="4" fillId="0" borderId="19" xfId="1" applyFill="1" applyBorder="1" applyAlignment="1" applyProtection="1">
      <alignment horizontal="center"/>
      <protection locked="0"/>
    </xf>
    <xf numFmtId="0" fontId="4" fillId="4" borderId="2" xfId="1" applyFill="1" applyAlignment="1" applyProtection="1">
      <alignment horizontal="center"/>
      <protection locked="0"/>
    </xf>
    <xf numFmtId="0" fontId="4" fillId="4" borderId="18" xfId="1" applyFill="1" applyBorder="1" applyAlignment="1" applyProtection="1">
      <alignment horizontal="center"/>
      <protection locked="0"/>
    </xf>
    <xf numFmtId="0" fontId="4" fillId="3" borderId="18" xfId="1" applyFill="1" applyBorder="1" applyAlignment="1" applyProtection="1">
      <alignment horizontal="center"/>
      <protection locked="0"/>
    </xf>
    <xf numFmtId="0" fontId="2" fillId="0" borderId="5" xfId="0" applyFont="1" applyFill="1" applyBorder="1" applyAlignment="1" applyProtection="1">
      <alignment horizontal="left" wrapText="1"/>
      <protection hidden="1"/>
    </xf>
    <xf numFmtId="0" fontId="2" fillId="0" borderId="21" xfId="0" applyFont="1" applyFill="1" applyBorder="1" applyAlignment="1" applyProtection="1">
      <alignment horizontal="left" wrapText="1"/>
      <protection hidden="1"/>
    </xf>
    <xf numFmtId="0" fontId="2" fillId="0" borderId="6" xfId="0" applyFont="1" applyFill="1" applyBorder="1" applyAlignment="1" applyProtection="1">
      <alignment horizontal="left" wrapText="1"/>
      <protection hidden="1"/>
    </xf>
    <xf numFmtId="0" fontId="12" fillId="5" borderId="32" xfId="1" applyFont="1" applyFill="1" applyBorder="1" applyAlignment="1" applyProtection="1">
      <alignment horizontal="center" vertical="center" wrapText="1"/>
      <protection locked="0"/>
    </xf>
  </cellXfs>
  <cellStyles count="5">
    <cellStyle name="Currency" xfId="3" builtinId="4"/>
    <cellStyle name="Hyperlink" xfId="4" builtinId="8"/>
    <cellStyle name="Input" xfId="1" builtinId="20"/>
    <cellStyle name="Normal" xfId="0" builtinId="0"/>
    <cellStyle name="Percent" xfId="2" builtinId="5"/>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73189814814814813"/>
          <c:w val="0.863571741032371"/>
          <c:h val="5.4799139690871988E-2"/>
        </c:manualLayout>
      </c:layout>
      <c:scatterChart>
        <c:scatterStyle val="lineMarker"/>
        <c:varyColors val="0"/>
        <c:ser>
          <c:idx val="1"/>
          <c:order val="0"/>
          <c:tx>
            <c:strRef>
              <c:f>'Part 3--Levelized Cost'!$A$3</c:f>
              <c:strCache>
                <c:ptCount val="1"/>
                <c:pt idx="0">
                  <c:v>Without Legislation</c:v>
                </c:pt>
              </c:strCache>
            </c:strRef>
          </c:tx>
          <c:spPr>
            <a:ln w="25400" cap="rnd">
              <a:noFill/>
              <a:round/>
            </a:ln>
            <a:effectLst/>
          </c:spPr>
          <c:marker>
            <c:symbol val="circle"/>
            <c:size val="5"/>
            <c:spPr>
              <a:solidFill>
                <a:schemeClr val="accent2"/>
              </a:solidFill>
              <a:ln w="9525">
                <a:solidFill>
                  <a:schemeClr val="accent2"/>
                </a:solidFill>
              </a:ln>
              <a:effectLst/>
            </c:spPr>
          </c:marker>
          <c:xVal>
            <c:numRef>
              <c:f>('Part 3--Levelized Cost'!$A$4,'Part 3--Levelized Cost'!$C$4,'Part 3--Levelized Cost'!$E$4)</c:f>
              <c:numCache>
                <c:formatCode>General</c:formatCode>
                <c:ptCount val="3"/>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1-78EC-42A6-8355-ED69953F30C3}"/>
            </c:ext>
          </c:extLst>
        </c:ser>
        <c:ser>
          <c:idx val="0"/>
          <c:order val="1"/>
          <c:tx>
            <c:strRef>
              <c:f>'Part 3--Levelized Cost'!$B$3</c:f>
              <c:strCache>
                <c:ptCount val="1"/>
                <c:pt idx="0">
                  <c:v>With Legislation</c:v>
                </c:pt>
              </c:strCache>
            </c:strRef>
          </c:tx>
          <c:spPr>
            <a:ln w="25400" cap="rnd">
              <a:noFill/>
              <a:round/>
            </a:ln>
            <a:effectLst/>
          </c:spPr>
          <c:marker>
            <c:symbol val="circle"/>
            <c:size val="5"/>
            <c:spPr>
              <a:solidFill>
                <a:schemeClr val="accent1"/>
              </a:solidFill>
              <a:ln w="9525">
                <a:solidFill>
                  <a:schemeClr val="accent1"/>
                </a:solidFill>
              </a:ln>
              <a:effectLst/>
            </c:spPr>
          </c:marker>
          <c:xVal>
            <c:numRef>
              <c:f>('Part 3--Levelized Cost'!$B$4,'Part 3--Levelized Cost'!$D$4,'Part 3--Levelized Cost'!$F$4)</c:f>
              <c:numCache>
                <c:formatCode>General</c:formatCode>
                <c:ptCount val="3"/>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0-78EC-42A6-8355-ED69953F30C3}"/>
            </c:ext>
          </c:extLst>
        </c:ser>
        <c:dLbls>
          <c:showLegendKey val="0"/>
          <c:showVal val="0"/>
          <c:showCatName val="0"/>
          <c:showSerName val="0"/>
          <c:showPercent val="0"/>
          <c:showBubbleSize val="0"/>
        </c:dLbls>
        <c:axId val="328886399"/>
        <c:axId val="1101482143"/>
      </c:scatterChart>
      <c:valAx>
        <c:axId val="328886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482143"/>
        <c:crosses val="autoZero"/>
        <c:crossBetween val="midCat"/>
      </c:valAx>
      <c:valAx>
        <c:axId val="1101482143"/>
        <c:scaling>
          <c:orientation val="minMax"/>
          <c:max val="5.000000000000001E-2"/>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28886399"/>
        <c:crosses val="autoZero"/>
        <c:crossBetween val="midCat"/>
        <c:majorUnit val="0.1"/>
        <c:minorUnit val="5.000000000000001E-2"/>
      </c:valAx>
      <c:spPr>
        <a:noFill/>
        <a:ln>
          <a:noFill/>
        </a:ln>
        <a:effectLst/>
      </c:spPr>
    </c:plotArea>
    <c:legend>
      <c:legendPos val="r"/>
      <c:layout>
        <c:manualLayout>
          <c:xMode val="edge"/>
          <c:yMode val="edge"/>
          <c:x val="2.0536441953764837E-2"/>
          <c:y val="0.13435106325994969"/>
          <c:w val="0.57668678739101265"/>
          <c:h val="0.529415470125057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06036745406826E-2"/>
          <c:y val="0.73189814814814813"/>
          <c:w val="0.863571741032371"/>
          <c:h val="5.4799139690871988E-2"/>
        </c:manualLayout>
      </c:layout>
      <c:scatterChart>
        <c:scatterStyle val="lineMarker"/>
        <c:varyColors val="0"/>
        <c:ser>
          <c:idx val="0"/>
          <c:order val="0"/>
          <c:tx>
            <c:strRef>
              <c:f>Sheet1!$A$14</c:f>
              <c:strCache>
                <c:ptCount val="1"/>
                <c:pt idx="0">
                  <c:v>With Legislation</c:v>
                </c:pt>
              </c:strCache>
            </c:strRef>
          </c:tx>
          <c:spPr>
            <a:ln w="25400" cap="rnd">
              <a:noFill/>
              <a:round/>
            </a:ln>
            <a:effectLst/>
          </c:spPr>
          <c:marker>
            <c:symbol val="circle"/>
            <c:size val="5"/>
            <c:spPr>
              <a:solidFill>
                <a:schemeClr val="accent1"/>
              </a:solidFill>
              <a:ln w="9525">
                <a:solidFill>
                  <a:schemeClr val="accent1"/>
                </a:solidFill>
              </a:ln>
              <a:effectLst/>
            </c:spPr>
          </c:marker>
          <c:xVal>
            <c:numRef>
              <c:f>Sheet1!$B$14:$D$14</c:f>
              <c:numCache>
                <c:formatCode>0.00</c:formatCode>
                <c:ptCount val="3"/>
                <c:pt idx="0">
                  <c:v>0</c:v>
                </c:pt>
                <c:pt idx="1">
                  <c:v>0</c:v>
                </c:pt>
                <c:pt idx="2">
                  <c:v>0</c:v>
                </c:pt>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3-2F5D-41BA-ACA4-F19E76630EB3}"/>
            </c:ext>
          </c:extLst>
        </c:ser>
        <c:ser>
          <c:idx val="1"/>
          <c:order val="1"/>
          <c:tx>
            <c:strRef>
              <c:f>Sheet1!$A$15</c:f>
              <c:strCache>
                <c:ptCount val="1"/>
                <c:pt idx="0">
                  <c:v>Without Legislation</c:v>
                </c:pt>
              </c:strCache>
            </c:strRef>
          </c:tx>
          <c:spPr>
            <a:ln w="25400" cap="rnd">
              <a:noFill/>
              <a:round/>
            </a:ln>
            <a:effectLst/>
          </c:spPr>
          <c:marker>
            <c:symbol val="circle"/>
            <c:size val="5"/>
            <c:spPr>
              <a:solidFill>
                <a:schemeClr val="accent2"/>
              </a:solidFill>
              <a:ln w="9525">
                <a:solidFill>
                  <a:schemeClr val="accent2"/>
                </a:solidFill>
              </a:ln>
              <a:effectLst/>
            </c:spPr>
          </c:marker>
          <c:xVal>
            <c:numRef>
              <c:f>Sheet1!$B$15:$D$15</c:f>
              <c:numCache>
                <c:formatCode>0.00</c:formatCode>
                <c:ptCount val="3"/>
                <c:pt idx="0">
                  <c:v>0</c:v>
                </c:pt>
                <c:pt idx="1">
                  <c:v>0</c:v>
                </c:pt>
                <c:pt idx="2">
                  <c:v>0</c:v>
                </c:pt>
              </c:numCache>
            </c:numRef>
          </c:xVal>
          <c:yVal>
            <c:numLit>
              <c:formatCode>General</c:formatCode>
              <c:ptCount val="3"/>
              <c:pt idx="0">
                <c:v>0</c:v>
              </c:pt>
              <c:pt idx="1">
                <c:v>0</c:v>
              </c:pt>
              <c:pt idx="2">
                <c:v>0</c:v>
              </c:pt>
            </c:numLit>
          </c:yVal>
          <c:smooth val="0"/>
          <c:extLst>
            <c:ext xmlns:c16="http://schemas.microsoft.com/office/drawing/2014/chart" uri="{C3380CC4-5D6E-409C-BE32-E72D297353CC}">
              <c16:uniqueId val="{00000004-2F5D-41BA-ACA4-F19E76630EB3}"/>
            </c:ext>
          </c:extLst>
        </c:ser>
        <c:dLbls>
          <c:showLegendKey val="0"/>
          <c:showVal val="0"/>
          <c:showCatName val="0"/>
          <c:showSerName val="0"/>
          <c:showPercent val="0"/>
          <c:showBubbleSize val="0"/>
        </c:dLbls>
        <c:axId val="328886399"/>
        <c:axId val="1101482143"/>
      </c:scatterChart>
      <c:valAx>
        <c:axId val="32888639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482143"/>
        <c:crosses val="autoZero"/>
        <c:crossBetween val="midCat"/>
      </c:valAx>
      <c:valAx>
        <c:axId val="1101482143"/>
        <c:scaling>
          <c:orientation val="minMax"/>
          <c:max val="5.000000000000001E-2"/>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28886399"/>
        <c:crosses val="autoZero"/>
        <c:crossBetween val="midCat"/>
        <c:majorUnit val="0.1"/>
        <c:minorUnit val="5.000000000000001E-2"/>
      </c:valAx>
      <c:spPr>
        <a:noFill/>
        <a:ln>
          <a:noFill/>
        </a:ln>
        <a:effectLst/>
      </c:spPr>
    </c:plotArea>
    <c:legend>
      <c:legendPos val="r"/>
      <c:layout>
        <c:manualLayout>
          <c:xMode val="edge"/>
          <c:yMode val="edge"/>
          <c:x val="2.0536441953764837E-2"/>
          <c:y val="0.13435106325994969"/>
          <c:w val="0.18852954563823768"/>
          <c:h val="0.529415470125057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17096</xdr:rowOff>
    </xdr:from>
    <xdr:to>
      <xdr:col>5</xdr:col>
      <xdr:colOff>777875</xdr:colOff>
      <xdr:row>5</xdr:row>
      <xdr:rowOff>0</xdr:rowOff>
    </xdr:to>
    <xdr:graphicFrame macro="">
      <xdr:nvGraphicFramePr>
        <xdr:cNvPr id="10" name="Chart 3">
          <a:extLst>
            <a:ext uri="{FF2B5EF4-FFF2-40B4-BE49-F238E27FC236}">
              <a16:creationId xmlns:a16="http://schemas.microsoft.com/office/drawing/2014/main" id="{DAA2DA7F-CABE-4E6C-8483-39689D701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21</xdr:row>
      <xdr:rowOff>123824</xdr:rowOff>
    </xdr:from>
    <xdr:to>
      <xdr:col>3</xdr:col>
      <xdr:colOff>561975</xdr:colOff>
      <xdr:row>25</xdr:row>
      <xdr:rowOff>171449</xdr:rowOff>
    </xdr:to>
    <xdr:graphicFrame macro="">
      <xdr:nvGraphicFramePr>
        <xdr:cNvPr id="3" name="Chart 2">
          <a:extLst>
            <a:ext uri="{FF2B5EF4-FFF2-40B4-BE49-F238E27FC236}">
              <a16:creationId xmlns:a16="http://schemas.microsoft.com/office/drawing/2014/main" id="{43D28847-F8B5-4737-839C-68370D308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wolframcloud.com/obj/0c6d0c63-ec23-4543-88b1-b93ff920694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D6666-7473-4A73-9592-1102247390A3}">
  <sheetPr codeName="Sheet1"/>
  <dimension ref="A1:E24"/>
  <sheetViews>
    <sheetView tabSelected="1" zoomScale="85" zoomScaleNormal="85" workbookViewId="0">
      <selection activeCell="B3" sqref="B3"/>
    </sheetView>
  </sheetViews>
  <sheetFormatPr defaultRowHeight="14.75" x14ac:dyDescent="0.75"/>
  <cols>
    <col min="1" max="2" width="68" customWidth="1"/>
    <col min="3" max="3" width="36.40625" customWidth="1"/>
  </cols>
  <sheetData>
    <row r="1" spans="1:5" ht="18.649999999999999" customHeight="1" x14ac:dyDescent="0.75">
      <c r="A1" s="15" t="s">
        <v>0</v>
      </c>
      <c r="B1" s="5"/>
      <c r="C1" s="92"/>
      <c r="D1" s="60"/>
      <c r="E1" s="60"/>
    </row>
    <row r="2" spans="1:5" ht="66" customHeight="1" x14ac:dyDescent="0.75">
      <c r="A2" s="106" t="s">
        <v>1</v>
      </c>
      <c r="B2" s="107"/>
      <c r="C2" s="60"/>
      <c r="D2" s="60"/>
      <c r="E2" s="60"/>
    </row>
    <row r="3" spans="1:5" ht="45.75" customHeight="1" x14ac:dyDescent="0.75">
      <c r="A3" s="14" t="s">
        <v>2</v>
      </c>
      <c r="B3" s="36"/>
      <c r="C3" s="118" t="s">
        <v>3</v>
      </c>
      <c r="D3" s="60"/>
      <c r="E3" s="60"/>
    </row>
    <row r="4" spans="1:5" x14ac:dyDescent="0.75">
      <c r="A4" s="112"/>
      <c r="B4" s="113"/>
      <c r="C4" s="118"/>
      <c r="D4" s="60"/>
      <c r="E4" s="60"/>
    </row>
    <row r="5" spans="1:5" x14ac:dyDescent="0.75">
      <c r="A5" s="12" t="s">
        <v>4</v>
      </c>
      <c r="B5" s="13" t="s">
        <v>5</v>
      </c>
      <c r="C5" s="119"/>
      <c r="D5" s="60"/>
      <c r="E5" s="60"/>
    </row>
    <row r="6" spans="1:5" ht="111.75" customHeight="1" x14ac:dyDescent="0.75">
      <c r="A6" s="114" t="str">
        <f xml:space="preserve"> "2. What is your central estimate of total private and public " &amp; _xlfn.XLOOKUP(Sheet1!A2, Sheet1!A6:A11, Sheet1!B6:B11) &amp; " R&amp;D spending and demonstration subsidies in the US in the ten years from the beginning of FY2022 through the end of FY2031 in each of these two scenarios (given all assumptions stated in the instructions)? " &amp; "Please include any federal or non-federal government " &amp; _xlfn.XLOOKUP(Sheet1!A2, Sheet1!A6:A11, Sheet1!B6:B11) &amp;" RD&amp;D spending in the US (not just the funding authorized in the Legislation), and any private spending of these types. " &amp; "(You do not need to have expertise in, or to research, this question. " &amp; "We are primarily interested in two things: 1) your estimate of the difference in spending caused by the enactment of the Legislation;" &amp; " 2) whether you think the Legislation would cause an increase in expected public+private R&amp;D spending and demonstration subsidies in the US other than those authorized by the Legislation, and if so, how much of an increase.)"</f>
        <v>2. What is your central estimate of total private and public diurnal electricity storage R&amp;D spending and demonstration subsidies in the US in the ten years from the beginning of FY2022 through the end of FY2031 in each of these two scenarios (given all assumptions stated in the instructions)? Please include any federal or non-federal government diurnal electricity storage RD&amp;D spending in the US (not just the funding authorized in the Legislation), and any private spending of these types. (You do not need to have expertise in, or to research, this question. We are primarily interested in two things: 1) your estimate of the difference in spending caused by the enactment of the Legislation; 2) whether you think the Legislation would cause an increase in expected public+private R&amp;D spending and demonstration subsidies in the US other than those authorized by the Legislation, and if so, how much of an increase.)</v>
      </c>
      <c r="B6" s="115"/>
      <c r="C6" s="120"/>
      <c r="D6" s="60"/>
      <c r="E6" s="60"/>
    </row>
    <row r="7" spans="1:5" x14ac:dyDescent="0.75">
      <c r="A7" s="53"/>
      <c r="B7" s="54"/>
      <c r="C7" s="121"/>
      <c r="D7" s="60"/>
      <c r="E7" s="60"/>
    </row>
    <row r="8" spans="1:5" ht="86.25" customHeight="1" x14ac:dyDescent="0.75">
      <c r="A8" s="108" t="str">
        <f xml:space="preserve"> "3. What is your central estimate of total private and public " &amp; _xlfn.XLOOKUP(Sheet1!A2,Sheet1!A6:A11,Sheet1!B6:B11) &amp; " R&amp;D spending and demonstration subsidies outside the US in the ten years from the beginning of 2022 through the end of 2031 for each of these two scenarios (given all assumptions stated above)? " &amp; "(You do not need to have expertise in, or to research, this question. We are primarily interested in two things: 1)  your estimate of the difference caused by the enactment of the Legislation; " &amp; " 2) whether you think the Legislation would cause a change in expected R&amp;D spending and demonstration subsidies outside the US, and if so, how much of a change.)"</f>
        <v>3. What is your central estimate of total private and public diurnal electricity storage R&amp;D spending and demonstration subsidies outside the US in the ten years from the beginning of 2022 through the end of 2031 for each of these two scenarios (given all assumptions stated above)? (You do not need to have expertise in, or to research, this question. We are primarily interested in two things: 1)  your estimate of the difference caused by the enactment of the Legislation;  2) whether you think the Legislation would cause a change in expected R&amp;D spending and demonstration subsidies outside the US, and if so, how much of a change.)</v>
      </c>
      <c r="B8" s="109"/>
      <c r="C8" s="122"/>
      <c r="D8" s="60"/>
      <c r="E8" s="60"/>
    </row>
    <row r="9" spans="1:5" x14ac:dyDescent="0.75">
      <c r="A9" s="53"/>
      <c r="B9" s="54"/>
      <c r="C9" s="123"/>
      <c r="D9" s="60"/>
      <c r="E9" s="60"/>
    </row>
    <row r="10" spans="1:5" ht="55.5" customHeight="1" x14ac:dyDescent="0.75">
      <c r="A10" s="108" t="str">
        <f xml:space="preserve"> "4. What subtype of " &amp; _xlfn.XLOOKUP(Sheet1!A2,Sheet1!A6:A11,Sheet1!C6:C11) &amp; " (" &amp; _xlfn.XLOOKUP(Sheet1!A2,Sheet1!A6:A11,Sheet1!D6:D11) &amp; ", etc)" &amp; " do you think is most likely to be the most cost-competitive to develop in 2035? Please describe the technology subtype in at least a few words and explain your choice."</f>
        <v>4. What subtype of diurnal electricity storage facility (lithium ion batteries, supercapacitors, etc) do you think is most likely to be the most cost-competitive to develop in 2035? Please describe the technology subtype in at least a few words and explain your choice.</v>
      </c>
      <c r="B10" s="109"/>
      <c r="C10" s="116"/>
      <c r="D10" s="60"/>
      <c r="E10" s="60"/>
    </row>
    <row r="11" spans="1:5" ht="32.25" customHeight="1" x14ac:dyDescent="0.75">
      <c r="A11" s="55"/>
      <c r="B11" s="56"/>
      <c r="C11" s="117"/>
      <c r="D11" s="60"/>
      <c r="E11" s="60"/>
    </row>
    <row r="12" spans="1:5" ht="36" customHeight="1" x14ac:dyDescent="0.75">
      <c r="A12" s="108" t="s">
        <v>6</v>
      </c>
      <c r="B12" s="109"/>
      <c r="C12" s="116"/>
      <c r="D12" s="60"/>
      <c r="E12" s="60"/>
    </row>
    <row r="13" spans="1:5" ht="31.5" customHeight="1" x14ac:dyDescent="0.75">
      <c r="A13" s="55"/>
      <c r="B13" s="56"/>
      <c r="C13" s="117"/>
      <c r="D13" s="60"/>
      <c r="E13" s="60"/>
    </row>
    <row r="14" spans="1:5" ht="78.75" customHeight="1" x14ac:dyDescent="0.75">
      <c r="A14" s="108" t="str">
        <f xml:space="preserve"> IF(Sheet1!A2 = "geo", "6. We would like for you to base your answers in Part 3 on a moderately abundant class of geothermal resource. Specifically, we would like for you to base your answer on the class that is the answer to the following question:" &amp; " If 25 GW of enhanced geothermal generation capacity were built in the US, what class of geothermal resources do you think would most likely be used for the 25th gigawatt of capacity? " &amp; "In different words, how desirable of a combination of depth, temperature, and permeability do you think would be used for the plants that would constitute the 25th gigawatt of capacity?", "This box is intentionally blank.")</f>
        <v>This box is intentionally blank.</v>
      </c>
      <c r="B14" s="109"/>
      <c r="C14" s="116"/>
      <c r="D14" s="60"/>
      <c r="E14" s="60"/>
    </row>
    <row r="15" spans="1:5" ht="29.45" customHeight="1" x14ac:dyDescent="0.75">
      <c r="A15" s="55"/>
      <c r="B15" s="56"/>
      <c r="C15" s="117"/>
      <c r="D15" s="60"/>
      <c r="E15" s="60"/>
    </row>
    <row r="16" spans="1:5" ht="29.45" customHeight="1" x14ac:dyDescent="0.75">
      <c r="A16" s="110" t="str">
        <f>IF(Sheet1!A2 = "geo", "7. Do you base your answers in part 3 on the same class or classes of geothermal resources that you described in your answer to the preceding question?", "This box is intentionally blank.")</f>
        <v>This box is intentionally blank.</v>
      </c>
      <c r="B16" s="111"/>
      <c r="C16" s="116"/>
      <c r="D16" s="60"/>
      <c r="E16" s="60"/>
    </row>
    <row r="17" spans="1:5" ht="29.45" customHeight="1" x14ac:dyDescent="0.75">
      <c r="A17" s="55"/>
      <c r="B17" s="56"/>
      <c r="C17" s="117"/>
      <c r="D17" s="60"/>
      <c r="E17" s="60"/>
    </row>
    <row r="18" spans="1:5" ht="29.45" customHeight="1" x14ac:dyDescent="0.75">
      <c r="A18" s="104" t="s">
        <v>7</v>
      </c>
      <c r="B18" s="105"/>
      <c r="C18" s="60"/>
      <c r="D18" s="60"/>
      <c r="E18" s="60"/>
    </row>
    <row r="19" spans="1:5" x14ac:dyDescent="0.75">
      <c r="A19" s="6"/>
      <c r="B19" s="7"/>
      <c r="C19" s="60"/>
      <c r="D19" s="60"/>
      <c r="E19" s="60"/>
    </row>
    <row r="20" spans="1:5" s="2" customFormat="1" x14ac:dyDescent="0.75">
      <c r="A20" s="63"/>
      <c r="B20" s="63"/>
      <c r="C20" s="63"/>
      <c r="D20" s="63"/>
      <c r="E20" s="63"/>
    </row>
    <row r="21" spans="1:5" s="2" customFormat="1" x14ac:dyDescent="0.75">
      <c r="A21" s="63"/>
      <c r="B21" s="63"/>
      <c r="C21" s="63"/>
      <c r="D21" s="63"/>
      <c r="E21" s="63"/>
    </row>
    <row r="22" spans="1:5" s="2" customFormat="1" x14ac:dyDescent="0.75">
      <c r="A22" s="63"/>
      <c r="B22" s="63"/>
      <c r="C22" s="63"/>
      <c r="D22" s="63"/>
      <c r="E22" s="63"/>
    </row>
    <row r="23" spans="1:5" s="2" customFormat="1" x14ac:dyDescent="0.75"/>
    <row r="24" spans="1:5" s="2" customFormat="1" x14ac:dyDescent="0.75"/>
  </sheetData>
  <sheetProtection sheet="1" formatColumns="0" formatRows="0"/>
  <mergeCells count="16">
    <mergeCell ref="C12:C13"/>
    <mergeCell ref="C14:C15"/>
    <mergeCell ref="C16:C17"/>
    <mergeCell ref="C3:C5"/>
    <mergeCell ref="C6:C7"/>
    <mergeCell ref="C8:C9"/>
    <mergeCell ref="C10:C11"/>
    <mergeCell ref="A18:B18"/>
    <mergeCell ref="A2:B2"/>
    <mergeCell ref="A14:B14"/>
    <mergeCell ref="A16:B16"/>
    <mergeCell ref="A4:B4"/>
    <mergeCell ref="A6:B6"/>
    <mergeCell ref="A8:B8"/>
    <mergeCell ref="A10:B10"/>
    <mergeCell ref="A12: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818A0-5994-4222-82B6-F2C2592646FB}">
  <dimension ref="A1:C11"/>
  <sheetViews>
    <sheetView workbookViewId="0">
      <selection activeCell="C5" sqref="C5"/>
    </sheetView>
  </sheetViews>
  <sheetFormatPr defaultRowHeight="14.75" x14ac:dyDescent="0.75"/>
  <cols>
    <col min="1" max="2" width="5.40625" customWidth="1"/>
    <col min="3" max="3" width="87.40625" customWidth="1"/>
    <col min="4" max="4" width="9.1328125" customWidth="1"/>
  </cols>
  <sheetData>
    <row r="1" spans="1:3" x14ac:dyDescent="0.75">
      <c r="A1" s="3" t="s">
        <v>8</v>
      </c>
    </row>
    <row r="2" spans="1:3" x14ac:dyDescent="0.75">
      <c r="A2" s="45" t="s">
        <v>9</v>
      </c>
      <c r="B2" s="45" t="s">
        <v>10</v>
      </c>
    </row>
    <row r="3" spans="1:3" s="46" customFormat="1" ht="33.4" customHeight="1" x14ac:dyDescent="0.75">
      <c r="A3" s="57"/>
      <c r="B3" s="57"/>
      <c r="C3" s="51" t="s">
        <v>11</v>
      </c>
    </row>
    <row r="4" spans="1:3" s="46" customFormat="1" ht="33.4" customHeight="1" x14ac:dyDescent="0.75">
      <c r="A4" s="57"/>
      <c r="B4" s="57"/>
      <c r="C4" s="51" t="s">
        <v>12</v>
      </c>
    </row>
    <row r="5" spans="1:3" s="46" customFormat="1" ht="33.4" customHeight="1" x14ac:dyDescent="0.75">
      <c r="A5" s="57"/>
      <c r="B5" s="57"/>
      <c r="C5" s="51" t="str">
        <f xml:space="preserve"> "Assumed enactment would increase total federal government funding for " &amp; _xlfn.XLOOKUP(Sheet1!A2, Sheet1!A6:A11, Sheet1!B6:B11) &amp; " RD&amp;D by the amounts specified in the Legislation summary?"</f>
        <v>Assumed enactment would increase total federal government funding for diurnal electricity storage RD&amp;D by the amounts specified in the Legislation summary?</v>
      </c>
    </row>
    <row r="6" spans="1:3" s="46" customFormat="1" ht="33.4" customHeight="1" x14ac:dyDescent="0.75">
      <c r="A6" s="57"/>
      <c r="B6" s="57"/>
      <c r="C6" s="51" t="s">
        <v>13</v>
      </c>
    </row>
    <row r="7" spans="1:3" s="46" customFormat="1" ht="33.4" customHeight="1" x14ac:dyDescent="0.75">
      <c r="A7" s="57"/>
      <c r="B7" s="57"/>
      <c r="C7" s="51" t="s">
        <v>14</v>
      </c>
    </row>
    <row r="8" spans="1:3" s="46" customFormat="1" ht="33.4" customHeight="1" x14ac:dyDescent="0.75">
      <c r="A8" s="57"/>
      <c r="B8" s="57"/>
      <c r="C8" s="51" t="s">
        <v>15</v>
      </c>
    </row>
    <row r="9" spans="1:3" s="46" customFormat="1" ht="33.4" customHeight="1" x14ac:dyDescent="0.75">
      <c r="A9" s="57"/>
      <c r="B9" s="57"/>
      <c r="C9" s="51" t="s">
        <v>109</v>
      </c>
    </row>
    <row r="11" spans="1:3" x14ac:dyDescent="0.75">
      <c r="A11" s="47" t="s">
        <v>16</v>
      </c>
    </row>
  </sheetData>
  <sheetProtection sheet="1"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9CC2-052A-4A90-88CC-D5CF1D9D010B}">
  <sheetPr codeName="Sheet2"/>
  <dimension ref="A1:Z64"/>
  <sheetViews>
    <sheetView zoomScale="70" zoomScaleNormal="70" workbookViewId="0">
      <pane ySplit="3" topLeftCell="A4" activePane="bottomLeft" state="frozen"/>
      <selection activeCell="A8" sqref="A1:I61"/>
      <selection pane="bottomLeft" activeCell="A4" sqref="A4"/>
    </sheetView>
  </sheetViews>
  <sheetFormatPr defaultRowHeight="14.75" x14ac:dyDescent="0.75"/>
  <cols>
    <col min="1" max="6" width="11.1328125" customWidth="1"/>
    <col min="7" max="7" width="16.40625" style="8" customWidth="1"/>
    <col min="8" max="8" width="73" customWidth="1"/>
    <col min="9" max="9" width="68.1328125" style="60" customWidth="1"/>
    <col min="10" max="10" width="9.1328125" style="60" customWidth="1"/>
    <col min="11" max="26" width="9.1328125" style="60"/>
  </cols>
  <sheetData>
    <row r="1" spans="1:26" x14ac:dyDescent="0.75">
      <c r="A1" s="124" t="str">
        <f xml:space="preserve"> "Percentiles of " &amp; IF(Sheet1!A2 = "dac", "Levelized Cost of Capture (LCOC)", IF(Sheet1!A2 = "stor", "Levelized Cost of Storage (LCOS)","LCOE"))</f>
        <v>Percentiles of Levelized Cost of Storage (LCOS)</v>
      </c>
      <c r="B1" s="125"/>
      <c r="C1" s="125"/>
      <c r="D1" s="125"/>
      <c r="E1" s="125"/>
      <c r="F1" s="125"/>
      <c r="G1" s="29"/>
      <c r="H1" s="13" t="str">
        <f>"All questions are about 2035. "&amp;IF(Sheet1!$A$2 = "dac", "Tons refers to metric tons. ", "")</f>
        <v xml:space="preserve">All questions are about 2035. </v>
      </c>
    </row>
    <row r="2" spans="1:26" x14ac:dyDescent="0.75">
      <c r="A2" s="129" t="s">
        <v>17</v>
      </c>
      <c r="B2" s="130"/>
      <c r="C2" s="130" t="s">
        <v>18</v>
      </c>
      <c r="D2" s="130"/>
      <c r="E2" s="130" t="s">
        <v>19</v>
      </c>
      <c r="F2" s="130"/>
      <c r="G2" s="131" t="s">
        <v>20</v>
      </c>
      <c r="H2" s="128" t="s">
        <v>21</v>
      </c>
      <c r="I2" s="136" t="s">
        <v>22</v>
      </c>
    </row>
    <row r="3" spans="1:26" s="1" customFormat="1" ht="29.5" x14ac:dyDescent="0.75">
      <c r="A3" s="11" t="s">
        <v>23</v>
      </c>
      <c r="B3" s="9" t="s">
        <v>24</v>
      </c>
      <c r="C3" s="11" t="s">
        <v>23</v>
      </c>
      <c r="D3" s="9" t="s">
        <v>24</v>
      </c>
      <c r="E3" s="11" t="s">
        <v>23</v>
      </c>
      <c r="F3" s="9" t="s">
        <v>24</v>
      </c>
      <c r="G3" s="132"/>
      <c r="H3" s="128"/>
      <c r="I3" s="136"/>
      <c r="J3" s="59"/>
      <c r="K3" s="59"/>
      <c r="L3" s="59"/>
      <c r="M3" s="59"/>
      <c r="N3" s="59"/>
      <c r="O3" s="59"/>
      <c r="P3" s="59"/>
      <c r="Q3" s="59"/>
      <c r="R3" s="59"/>
      <c r="S3" s="59"/>
      <c r="T3" s="59"/>
      <c r="U3" s="59"/>
      <c r="V3" s="59"/>
      <c r="W3" s="59"/>
      <c r="X3" s="59"/>
      <c r="Y3" s="59"/>
      <c r="Z3" s="59"/>
    </row>
    <row r="4" spans="1:26" s="4" customFormat="1" ht="44.25" x14ac:dyDescent="0.75">
      <c r="A4" s="93"/>
      <c r="B4" s="93"/>
      <c r="C4" s="93"/>
      <c r="D4" s="93"/>
      <c r="E4" s="93"/>
      <c r="F4" s="93"/>
      <c r="G4" s="30" t="s">
        <v>106</v>
      </c>
      <c r="H4" s="71" t="str">
        <f xml:space="preserve"> "Please provide your best estimates of the six LCOS values here. Unit is dollars per after-losses MWh discharged. Please give values that" &amp; IF(OR(Sheet1!$A$2="dac", Sheet1!$A$2 = "ccs"), " include T&amp;S costs and", "")&amp;" are net of (reduced by) any expected co-product profits."</f>
        <v>Please provide your best estimates of the six LCOS values here. Unit is dollars per after-losses MWh discharged. Please give values that are net of (reduced by) any expected co-product profits.</v>
      </c>
      <c r="I4" s="58"/>
      <c r="J4" s="59"/>
      <c r="K4" s="59"/>
      <c r="L4" s="59"/>
      <c r="M4" s="59"/>
      <c r="N4" s="59"/>
      <c r="O4" s="59"/>
      <c r="P4" s="59"/>
      <c r="Q4" s="59"/>
      <c r="R4" s="59"/>
      <c r="S4" s="59"/>
      <c r="T4" s="59"/>
      <c r="U4" s="59"/>
      <c r="V4" s="59"/>
      <c r="W4" s="59"/>
      <c r="X4" s="59"/>
      <c r="Y4" s="59"/>
      <c r="Z4" s="59"/>
    </row>
    <row r="5" spans="1:26" s="4" customFormat="1" ht="87" customHeight="1" x14ac:dyDescent="0.75">
      <c r="A5" s="16"/>
      <c r="B5" s="16"/>
      <c r="C5" s="16"/>
      <c r="D5" s="16"/>
      <c r="E5" s="16"/>
      <c r="F5" s="16"/>
      <c r="G5" s="30" t="s">
        <v>108</v>
      </c>
      <c r="H5" s="97" t="s">
        <v>110</v>
      </c>
      <c r="I5" s="59"/>
      <c r="J5" s="59"/>
      <c r="K5" s="59"/>
      <c r="L5" s="59"/>
      <c r="M5" s="59"/>
      <c r="N5" s="59"/>
      <c r="O5" s="59"/>
      <c r="P5" s="59"/>
      <c r="Q5" s="59"/>
      <c r="R5" s="59"/>
      <c r="S5" s="59"/>
      <c r="T5" s="59"/>
      <c r="U5" s="59"/>
      <c r="V5" s="59"/>
      <c r="W5" s="59"/>
      <c r="X5" s="59"/>
      <c r="Y5" s="59"/>
      <c r="Z5" s="59"/>
    </row>
    <row r="6" spans="1:26" s="4" customFormat="1" ht="36" customHeight="1" x14ac:dyDescent="0.75">
      <c r="A6" s="149" t="s">
        <v>107</v>
      </c>
      <c r="B6" s="149"/>
      <c r="C6" s="149"/>
      <c r="D6" s="149"/>
      <c r="E6" s="149"/>
      <c r="F6" s="149"/>
      <c r="G6" s="95"/>
      <c r="H6" s="97"/>
      <c r="I6" s="59"/>
      <c r="J6" s="59"/>
      <c r="K6" s="59"/>
      <c r="L6" s="59"/>
      <c r="M6" s="59"/>
      <c r="N6" s="59"/>
      <c r="O6" s="59"/>
      <c r="P6" s="59"/>
      <c r="Q6" s="59"/>
      <c r="R6" s="59"/>
      <c r="S6" s="59"/>
      <c r="T6" s="59"/>
      <c r="U6" s="59"/>
      <c r="V6" s="59"/>
      <c r="W6" s="59"/>
      <c r="X6" s="59"/>
      <c r="Y6" s="59"/>
      <c r="Z6" s="59"/>
    </row>
    <row r="7" spans="1:26" s="4" customFormat="1" ht="59" x14ac:dyDescent="0.75">
      <c r="A7" s="96" t="str">
        <f>IFERROR(((A9+A10*A15)*A8 + (A12+A13*A15))/(A19*8.76) + A14 +A21 + A37, "")</f>
        <v/>
      </c>
      <c r="B7" s="96" t="str">
        <f t="shared" ref="B7:D7" si="0">IFERROR(((B9+B10*B15)*B8 + (B12+B13*B15))/(B19*8.76) + B14 +B21 + B37, "")</f>
        <v/>
      </c>
      <c r="C7" s="96" t="str">
        <f t="shared" si="0"/>
        <v/>
      </c>
      <c r="D7" s="96" t="str">
        <f t="shared" si="0"/>
        <v/>
      </c>
      <c r="E7" s="96" t="str">
        <f>IFERROR(((E9+E10*E15)*E8 + (E12+E13*E15))/(E19*8.76) + E14 +E21 + E37, "")</f>
        <v/>
      </c>
      <c r="F7" s="96" t="str">
        <f>IFERROR(((F9+F10*F15)*F8 + (F12+F13*F15))/(F19*8.76) + F14 +F21 + F37, "")</f>
        <v/>
      </c>
      <c r="G7" s="94" t="s">
        <v>111</v>
      </c>
      <c r="H7" s="71" t="str">
        <f xml:space="preserve"> "This row will be calculated automatically using your answers from below. Unit is dollars per after-losses MWh discharged. " &amp; IF(OR(Sheet1!$A$2="dac", Sheet1!$A$2 = "ccs"), "Includes T&amp;S costs and i", "I") &amp; "s net of (reduced by) any expected co-product profits."</f>
        <v>This row will be calculated automatically using your answers from below. Unit is dollars per after-losses MWh discharged. Is net of (reduced by) any expected co-product profits.</v>
      </c>
      <c r="I7" s="59"/>
      <c r="J7" s="59"/>
      <c r="K7" s="59"/>
      <c r="L7" s="59"/>
      <c r="M7" s="59"/>
      <c r="N7" s="59"/>
      <c r="O7" s="59"/>
      <c r="P7" s="59"/>
      <c r="Q7" s="59"/>
      <c r="R7" s="59"/>
      <c r="S7" s="59"/>
      <c r="T7" s="59"/>
      <c r="U7" s="59"/>
      <c r="V7" s="59"/>
      <c r="W7" s="59"/>
      <c r="X7" s="59"/>
      <c r="Y7" s="59"/>
      <c r="Z7" s="59"/>
    </row>
    <row r="8" spans="1:26" ht="29.5" x14ac:dyDescent="0.75">
      <c r="A8" s="102" t="str">
        <f>IFERROR(A11/(1-(1/(1+A11)^A16)), "")</f>
        <v/>
      </c>
      <c r="B8" s="102" t="str">
        <f>IFERROR(B11/(1-(1/(1+B11)^B16)), "")</f>
        <v/>
      </c>
      <c r="C8" s="102" t="str">
        <f t="shared" ref="C8:E8" si="1">IFERROR(C11/(1-(1/(1+C11)^C16)), "")</f>
        <v/>
      </c>
      <c r="D8" s="102" t="str">
        <f t="shared" si="1"/>
        <v/>
      </c>
      <c r="E8" s="102" t="str">
        <f t="shared" si="1"/>
        <v/>
      </c>
      <c r="F8" s="103" t="str">
        <f>IFERROR(F11/(1-(1/(1+F11)^F16)), "")</f>
        <v/>
      </c>
      <c r="G8" s="75" t="s">
        <v>25</v>
      </c>
      <c r="H8" s="76" t="s">
        <v>26</v>
      </c>
    </row>
    <row r="9" spans="1:26" ht="73.75" x14ac:dyDescent="0.75">
      <c r="A9" s="48"/>
      <c r="B9" s="48"/>
      <c r="C9" s="48"/>
      <c r="D9" s="48"/>
      <c r="E9" s="48"/>
      <c r="F9" s="50"/>
      <c r="G9" s="75" t="str">
        <f xml:space="preserve"> IF(OR(Sheet1!$A$2 = "stor", Sheet1!$A$2 = "mdstor"),"Storage Power Capital Cost ($/kW)", "Cost to build " &amp; IF(Sheet1!$A$2 = "dac", "($/ton/year)", "($/kW)"))</f>
        <v>Storage Power Capital Cost ($/kW)</v>
      </c>
      <c r="H9" s="78" t="s">
        <v>27</v>
      </c>
      <c r="I9" s="58"/>
    </row>
    <row r="10" spans="1:26" ht="73.75" x14ac:dyDescent="0.75">
      <c r="A10" s="49"/>
      <c r="B10" s="49"/>
      <c r="C10" s="49"/>
      <c r="D10" s="49"/>
      <c r="E10" s="49"/>
      <c r="F10" s="72"/>
      <c r="G10" s="75" t="str">
        <f xml:space="preserve"> IF(Sheet1!$A$2 = "stor","Storage Energy Capital Cost ($/kWh of storage capacity)", "")</f>
        <v>Storage Energy Capital Cost ($/kWh of storage capacity)</v>
      </c>
      <c r="H10" s="78" t="s">
        <v>28</v>
      </c>
      <c r="I10" s="73"/>
    </row>
    <row r="11" spans="1:26" ht="73.75" x14ac:dyDescent="0.75">
      <c r="A11" s="52"/>
      <c r="B11" s="52"/>
      <c r="C11" s="52"/>
      <c r="D11" s="52"/>
      <c r="E11" s="52"/>
      <c r="F11" s="52"/>
      <c r="G11" s="75" t="s">
        <v>113</v>
      </c>
      <c r="H11" s="78" t="s">
        <v>114</v>
      </c>
      <c r="I11" s="64"/>
    </row>
    <row r="12" spans="1:26" ht="73.75" x14ac:dyDescent="0.75">
      <c r="A12" s="18"/>
      <c r="B12" s="18"/>
      <c r="C12" s="18"/>
      <c r="D12" s="18"/>
      <c r="E12" s="18"/>
      <c r="F12" s="18"/>
      <c r="G12" s="75" t="s">
        <v>29</v>
      </c>
      <c r="H12" s="98" t="s">
        <v>30</v>
      </c>
      <c r="I12" s="65"/>
    </row>
    <row r="13" spans="1:26" ht="73.75" x14ac:dyDescent="0.75">
      <c r="A13" s="18"/>
      <c r="B13" s="18"/>
      <c r="C13" s="18"/>
      <c r="D13" s="18"/>
      <c r="E13" s="18"/>
      <c r="F13" s="18"/>
      <c r="G13" s="75" t="s">
        <v>31</v>
      </c>
      <c r="H13" s="98" t="s">
        <v>32</v>
      </c>
      <c r="I13" s="65"/>
    </row>
    <row r="14" spans="1:26" ht="73.75" x14ac:dyDescent="0.75">
      <c r="A14" s="18"/>
      <c r="B14" s="18"/>
      <c r="C14" s="18"/>
      <c r="D14" s="18"/>
      <c r="E14" s="18"/>
      <c r="F14" s="18"/>
      <c r="G14" s="75" t="str">
        <f xml:space="preserve"> "VOM ($/" &amp; IF(Sheet1!$A$2 = "dac", "ton captured)", "MWh)")</f>
        <v>VOM ($/MWh)</v>
      </c>
      <c r="H14" s="78" t="s">
        <v>33</v>
      </c>
      <c r="I14" s="65"/>
    </row>
    <row r="15" spans="1:26" ht="44.25" x14ac:dyDescent="0.75">
      <c r="A15" s="18"/>
      <c r="B15" s="18"/>
      <c r="C15" s="18"/>
      <c r="D15" s="18"/>
      <c r="E15" s="18"/>
      <c r="F15" s="18"/>
      <c r="G15" s="75" t="s">
        <v>34</v>
      </c>
      <c r="H15" s="78" t="s">
        <v>35</v>
      </c>
      <c r="I15" s="74"/>
    </row>
    <row r="16" spans="1:26" ht="29.5" x14ac:dyDescent="0.75">
      <c r="A16" s="43"/>
      <c r="B16" s="43"/>
      <c r="C16" s="43"/>
      <c r="D16" s="43"/>
      <c r="E16" s="43"/>
      <c r="F16" s="43"/>
      <c r="G16" s="75" t="s">
        <v>36</v>
      </c>
      <c r="H16" s="78" t="s">
        <v>37</v>
      </c>
      <c r="I16" s="66"/>
    </row>
    <row r="17" spans="1:9" ht="29.5" x14ac:dyDescent="0.75">
      <c r="A17" s="20"/>
      <c r="B17" s="20"/>
      <c r="C17" s="20"/>
      <c r="D17" s="20"/>
      <c r="E17" s="20"/>
      <c r="F17" s="20"/>
      <c r="G17" s="30" t="s">
        <v>103</v>
      </c>
      <c r="H17" s="71" t="s">
        <v>117</v>
      </c>
      <c r="I17" s="67"/>
    </row>
    <row r="18" spans="1:9" ht="29.5" x14ac:dyDescent="0.75">
      <c r="A18" s="20"/>
      <c r="B18" s="20"/>
      <c r="C18" s="20"/>
      <c r="D18" s="20"/>
      <c r="E18" s="20"/>
      <c r="F18" s="20"/>
      <c r="G18" s="30" t="s">
        <v>104</v>
      </c>
      <c r="H18" s="71" t="s">
        <v>118</v>
      </c>
      <c r="I18" s="67"/>
    </row>
    <row r="19" spans="1:9" ht="78.75" customHeight="1" x14ac:dyDescent="0.75">
      <c r="A19" s="21"/>
      <c r="B19" s="21"/>
      <c r="C19" s="21"/>
      <c r="D19" s="21"/>
      <c r="E19" s="21"/>
      <c r="F19" s="21"/>
      <c r="G19" s="79" t="s">
        <v>38</v>
      </c>
      <c r="H19" s="80" t="s">
        <v>112</v>
      </c>
      <c r="I19" s="68"/>
    </row>
    <row r="20" spans="1:9" ht="30.4" customHeight="1" x14ac:dyDescent="0.75">
      <c r="A20" s="133" t="s">
        <v>39</v>
      </c>
      <c r="B20" s="134"/>
      <c r="C20" s="134"/>
      <c r="D20" s="134"/>
      <c r="E20" s="134"/>
      <c r="F20" s="134"/>
      <c r="G20" s="134"/>
      <c r="H20" s="135"/>
      <c r="I20" s="69"/>
    </row>
    <row r="21" spans="1:9" ht="45.75" customHeight="1" x14ac:dyDescent="0.75">
      <c r="A21" s="81">
        <f>(A24*A25*A26) + (A29*A30*A31)</f>
        <v>0</v>
      </c>
      <c r="B21" s="82">
        <f t="shared" ref="B21:F21" si="2">(B24*B25*B26) + (B29*B30*B31)</f>
        <v>0</v>
      </c>
      <c r="C21" s="82">
        <f t="shared" si="2"/>
        <v>0</v>
      </c>
      <c r="D21" s="82">
        <f t="shared" si="2"/>
        <v>0</v>
      </c>
      <c r="E21" s="82">
        <f t="shared" si="2"/>
        <v>0</v>
      </c>
      <c r="F21" s="82">
        <f t="shared" si="2"/>
        <v>0</v>
      </c>
      <c r="G21" s="75" t="s">
        <v>40</v>
      </c>
      <c r="H21" s="83" t="s">
        <v>41</v>
      </c>
      <c r="I21" s="69"/>
    </row>
    <row r="22" spans="1:9" ht="30" customHeight="1" x14ac:dyDescent="0.75">
      <c r="A22" s="140" t="s">
        <v>42</v>
      </c>
      <c r="B22" s="141"/>
      <c r="C22" s="141"/>
      <c r="D22" s="141"/>
      <c r="E22" s="141"/>
      <c r="F22" s="142"/>
      <c r="G22" s="84" t="s">
        <v>43</v>
      </c>
      <c r="H22" s="85" t="s">
        <v>44</v>
      </c>
      <c r="I22" s="69"/>
    </row>
    <row r="23" spans="1:9" x14ac:dyDescent="0.75">
      <c r="A23" s="143"/>
      <c r="B23" s="143"/>
      <c r="C23" s="143"/>
      <c r="D23" s="143"/>
      <c r="E23" s="143"/>
      <c r="F23" s="144"/>
      <c r="G23" s="86" t="s">
        <v>45</v>
      </c>
      <c r="H23" s="77" t="s">
        <v>46</v>
      </c>
      <c r="I23" s="69"/>
    </row>
    <row r="24" spans="1:9" x14ac:dyDescent="0.75">
      <c r="A24" s="87">
        <v>1</v>
      </c>
      <c r="B24" s="87">
        <v>1</v>
      </c>
      <c r="C24" s="87">
        <v>1</v>
      </c>
      <c r="D24" s="87">
        <v>1</v>
      </c>
      <c r="E24" s="87">
        <v>1</v>
      </c>
      <c r="F24" s="88">
        <v>1</v>
      </c>
      <c r="G24" s="86" t="s">
        <v>47</v>
      </c>
      <c r="H24" s="77" t="s">
        <v>48</v>
      </c>
      <c r="I24" s="70"/>
    </row>
    <row r="25" spans="1:9" ht="29.5" x14ac:dyDescent="0.75">
      <c r="A25" s="18"/>
      <c r="B25" s="18"/>
      <c r="C25" s="18"/>
      <c r="D25" s="18"/>
      <c r="E25" s="18"/>
      <c r="F25" s="17"/>
      <c r="G25" s="25" t="str">
        <f xml:space="preserve"> IF(Sheet1!$A$2 = "ccs", "Heat Rate (MMBtu/MWh)", "Units per " &amp; IF(Sheet1!$A$2 = "dac", "ton captured", "MWh"))</f>
        <v>Units per MWh</v>
      </c>
      <c r="H25" s="77" t="s">
        <v>49</v>
      </c>
      <c r="I25" s="65"/>
    </row>
    <row r="26" spans="1:9" ht="44.25" x14ac:dyDescent="0.75">
      <c r="A26" s="19"/>
      <c r="B26" s="99">
        <f>A26</f>
        <v>0</v>
      </c>
      <c r="C26" s="99">
        <f t="shared" ref="C26:F26" si="3">B26</f>
        <v>0</v>
      </c>
      <c r="D26" s="99">
        <f t="shared" si="3"/>
        <v>0</v>
      </c>
      <c r="E26" s="99">
        <f t="shared" si="3"/>
        <v>0</v>
      </c>
      <c r="F26" s="99">
        <f t="shared" si="3"/>
        <v>0</v>
      </c>
      <c r="G26" s="27" t="s">
        <v>50</v>
      </c>
      <c r="H26" s="78" t="s">
        <v>105</v>
      </c>
      <c r="I26" s="68"/>
    </row>
    <row r="27" spans="1:9" ht="30" customHeight="1" x14ac:dyDescent="0.75">
      <c r="A27" s="138"/>
      <c r="B27" s="126"/>
      <c r="C27" s="126"/>
      <c r="D27" s="126"/>
      <c r="E27" s="126"/>
      <c r="F27" s="139"/>
      <c r="G27" s="23" t="str">
        <f xml:space="preserve"> IF(Sheet1!$A$2 = "ccs", "", "Fuel 2")</f>
        <v>Fuel 2</v>
      </c>
      <c r="H27" s="85" t="s">
        <v>51</v>
      </c>
      <c r="I27" s="69"/>
    </row>
    <row r="28" spans="1:9" x14ac:dyDescent="0.75">
      <c r="A28" s="137"/>
      <c r="B28" s="137"/>
      <c r="C28" s="137"/>
      <c r="D28" s="137"/>
      <c r="E28" s="137"/>
      <c r="F28" s="145"/>
      <c r="G28" s="25" t="str">
        <f xml:space="preserve"> IF(Sheet1!$A$2 = "ccs", "", "Units")</f>
        <v>Units</v>
      </c>
      <c r="H28" s="42" t="str">
        <f xml:space="preserve"> IF(Sheet1!$A$2 = "ccs", "", "What are the units you use to measure this fuel?")</f>
        <v>What are the units you use to measure this fuel?</v>
      </c>
      <c r="I28" s="69"/>
    </row>
    <row r="29" spans="1:9" ht="14.45" customHeight="1" x14ac:dyDescent="0.75">
      <c r="A29" s="18"/>
      <c r="B29" s="18"/>
      <c r="C29" s="18"/>
      <c r="D29" s="18"/>
      <c r="E29" s="18"/>
      <c r="F29" s="17"/>
      <c r="G29" s="25" t="str">
        <f xml:space="preserve"> IF(Sheet1!$A$2 = "ccs", "", "Probability")</f>
        <v>Probability</v>
      </c>
      <c r="H29" s="71" t="str">
        <f xml:space="preserve"> IF(Sheet1!$A$2 = "ccs", "", "What is the probability that such a plant, if operated, would require this fuel? (0 to 1)")</f>
        <v>What is the probability that such a plant, if operated, would require this fuel? (0 to 1)</v>
      </c>
      <c r="I29" s="70"/>
    </row>
    <row r="30" spans="1:9" ht="31.5" customHeight="1" x14ac:dyDescent="0.75">
      <c r="A30" s="18"/>
      <c r="B30" s="18"/>
      <c r="C30" s="18"/>
      <c r="D30" s="18"/>
      <c r="E30" s="18"/>
      <c r="F30" s="17"/>
      <c r="G30" s="25" t="str">
        <f>IF(Sheet1!$A$2 = "ccs", "", "Units per " &amp; IF(Sheet1!$A$2 = "dac", "ton captured", "MWh"))</f>
        <v>Units per MWh</v>
      </c>
      <c r="H30" s="42" t="str">
        <f xml:space="preserve"> IF(Sheet1!$A$2 = "ccs", "", "If the plant requires it, how many units would it require per " &amp; IF(Sheet1!$A$2 = "dac", "ton of CO2 captured?", "after-losses MWh of electricity that the plant discharges?"))</f>
        <v>If the plant requires it, how many units would it require per after-losses MWh of electricity that the plant discharges?</v>
      </c>
      <c r="I30" s="65"/>
    </row>
    <row r="31" spans="1:9" ht="30" customHeight="1" x14ac:dyDescent="0.75">
      <c r="A31" s="22"/>
      <c r="B31" s="100">
        <f>A31</f>
        <v>0</v>
      </c>
      <c r="C31" s="100">
        <f t="shared" ref="C31:F31" si="4">B31</f>
        <v>0</v>
      </c>
      <c r="D31" s="100">
        <f t="shared" si="4"/>
        <v>0</v>
      </c>
      <c r="E31" s="100">
        <f t="shared" si="4"/>
        <v>0</v>
      </c>
      <c r="F31" s="101">
        <f t="shared" si="4"/>
        <v>0</v>
      </c>
      <c r="G31" s="27" t="str">
        <f xml:space="preserve"> IF(Sheet1!$A$2 = "ccs", "", "Cost per unit")</f>
        <v>Cost per unit</v>
      </c>
      <c r="H31" s="32" t="str">
        <f xml:space="preserve"> IF(Sheet1!$A$2 = "ccs", "", "What is the cost of the fuel, per unit, if required? Enter in column A. Same value will be used in all six columns. " &amp; IF(Sheet1!$A$2 = "dac", "Suggested 2035 cost of NG: $3.75/MMBtu. In 2020 dollars", ""))</f>
        <v xml:space="preserve">What is the cost of the fuel, per unit, if required? Enter in column A. Same value will be used in all six columns. </v>
      </c>
      <c r="I31" s="68"/>
    </row>
    <row r="32" spans="1:9" ht="30" customHeight="1" x14ac:dyDescent="0.75">
      <c r="A32" s="38" t="str">
        <f>IF(Sheet1!$A$2="dac",A34+A35,IF(Sheet1!$A$2="ccs",(A25*A33*0.05307)*(A34+A35), ""))</f>
        <v/>
      </c>
      <c r="B32" s="38" t="str">
        <f>IF(Sheet1!$A$2="dac",B34+B35,IF(Sheet1!$A$2="ccs",(B25*B33*0.05307)*(B34+B35), ""))</f>
        <v/>
      </c>
      <c r="C32" s="38" t="str">
        <f>IF(Sheet1!$A$2="dac",C34+C35,IF(Sheet1!$A$2="ccs",(C25*C33*0.05307)*(C34+C35), ""))</f>
        <v/>
      </c>
      <c r="D32" s="38" t="str">
        <f>IF(Sheet1!$A$2="dac",D34+D35,IF(Sheet1!$A$2="ccs",(D25*D33*0.05307)*(D34+D35), ""))</f>
        <v/>
      </c>
      <c r="E32" s="38" t="str">
        <f>IF(Sheet1!$A$2="dac",E34+E35,IF(Sheet1!$A$2="ccs",(E25*E33*0.05307)*(E34+E35), ""))</f>
        <v/>
      </c>
      <c r="F32" s="38" t="str">
        <f>IF(Sheet1!$A$2="dac",F34+F35,IF(Sheet1!$A$2="ccs",(F25*F33*0.05307)*(F34+F35), ""))</f>
        <v/>
      </c>
      <c r="G32" s="33" t="str">
        <f>IF(OR(Sheet1!$A$2="dac", Sheet1!$A$2 = "ccs"), "T&amp;S Costs", "")</f>
        <v/>
      </c>
      <c r="H32" s="42" t="str">
        <f>IF(Sheet1!$A$2="dac","Per ton captured. This row will automatically update using your answers from below. Per ton captured.",IF(Sheet1!$A$2="ccs","Per MWh. This row will automatically update using your answers from below using an assumption of 117 lbs CO2 per MMBtu of NG used.", "The next three rows are intentionally empty for your technology and no answers are needed in them."))</f>
        <v>The next three rows are intentionally empty for your technology and no answers are needed in them.</v>
      </c>
      <c r="I32" s="69"/>
    </row>
    <row r="33" spans="1:9" ht="17.25" customHeight="1" x14ac:dyDescent="0.75">
      <c r="A33" s="39"/>
      <c r="B33" s="39"/>
      <c r="C33" s="39"/>
      <c r="D33" s="39"/>
      <c r="E33" s="39"/>
      <c r="F33" s="40"/>
      <c r="G33" s="30" t="str">
        <f>IF(Sheet1!$A$2 = "ccs", "Percent Capture", "")</f>
        <v/>
      </c>
      <c r="H33" s="42" t="str">
        <f>IF(Sheet1!$A$2 = "ccs", "What percentage of CO2 produced by the facility is captured?", IF(Sheet1!$A$2 = "dac", "This row is intentionally blank", ""))</f>
        <v/>
      </c>
      <c r="I33" s="70"/>
    </row>
    <row r="34" spans="1:9" ht="57.75" customHeight="1" x14ac:dyDescent="0.75">
      <c r="A34" s="41"/>
      <c r="B34" s="41"/>
      <c r="C34" s="41"/>
      <c r="D34" s="41"/>
      <c r="E34" s="41"/>
      <c r="F34" s="41"/>
      <c r="G34" s="30" t="str">
        <f>IF(OR(Sheet1!$A$2="dac", Sheet1!$A$2 = "ccs"),  "Transport of CO2 ", "")</f>
        <v/>
      </c>
      <c r="H34" s="42" t="str">
        <f>IF(OR(Sheet1!$A$2="dac", Sheet1!$A$2 = "ccs"),  "For a plant designed in 2035 and then built, what would be the cost per metric ton of transporting CO2 to a saline aquifer 50 miles away?" &amp; " Do not include the cost of compression at the capture facility, as that is included in the costs of the capture facility. ", "")</f>
        <v/>
      </c>
      <c r="I34" s="65"/>
    </row>
    <row r="35" spans="1:9" ht="46.5" customHeight="1" x14ac:dyDescent="0.75">
      <c r="A35" s="18"/>
      <c r="B35" s="18"/>
      <c r="C35" s="18"/>
      <c r="D35" s="18"/>
      <c r="E35" s="18"/>
      <c r="F35" s="17"/>
      <c r="G35" s="30" t="str">
        <f>IF(OR(Sheet1!$A$2="dac", Sheet1!$A$2 = "ccs"),  "Sequestration of CO2 ", "")</f>
        <v/>
      </c>
      <c r="H35" s="42" t="str">
        <f>IF(OR(Sheet1!$A$2="dac", Sheet1!$A$2 = "ccs"), "For a plant designed in 2035 and subsequently built, what would be the average cost per metric ton of sequestering the CO2 in a saline aquifer, including the costs of choosing a site, developing the sequestration facility, and operating it?", "")</f>
        <v/>
      </c>
      <c r="I35" s="68"/>
    </row>
    <row r="36" spans="1:9" ht="34.5" customHeight="1" x14ac:dyDescent="0.75">
      <c r="A36" s="146" t="str">
        <f xml:space="preserve"> "If a " &amp; _xlfn.XLOOKUP(Sheet1!$A$2, Sheet1!$A$6:$A$11, Sheet1!$C$6:$C$11, "") &amp; " were designed in 2035 then built and operated, is there a non-trivial probability that it would produce one or more co-products other than " &amp; IF(Sheet1!$A$2 = "dac", "CO2", "electricity and grid-serving ancillary services") &amp; "? Some examples: useful steam, hydrogen, argon, backup power during blackout. If so, please answer the questions about them below."</f>
        <v>If a diurnal electricity storage facility were designed in 2035 then built and operated, is there a non-trivial probability that it would produce one or more co-products other than electricity and grid-serving ancillary services? Some examples: useful steam, hydrogen, argon, backup power during blackout. If so, please answer the questions about them below.</v>
      </c>
      <c r="B36" s="147"/>
      <c r="C36" s="147"/>
      <c r="D36" s="147"/>
      <c r="E36" s="147"/>
      <c r="F36" s="147"/>
      <c r="G36" s="147"/>
      <c r="H36" s="148"/>
      <c r="I36" s="69"/>
    </row>
    <row r="37" spans="1:9" ht="45" customHeight="1" x14ac:dyDescent="0.75">
      <c r="A37" s="10">
        <f t="shared" ref="A37:F37" si="5">(A40*A41*(A43-A42)) + (A46*A47*(A49-A48)) + (A52*A53*(A55-A54)) + (A58*A59*(A61-A60))</f>
        <v>0</v>
      </c>
      <c r="B37" s="10">
        <f t="shared" si="5"/>
        <v>0</v>
      </c>
      <c r="C37" s="10">
        <f t="shared" si="5"/>
        <v>0</v>
      </c>
      <c r="D37" s="10">
        <f t="shared" si="5"/>
        <v>0</v>
      </c>
      <c r="E37" s="10">
        <f>(E40*E41*(E43-E42)) + (E46*E47*(E49-E48)) + (E52*E53*(E55-E54)) + (E58*E59*(E61-E60))</f>
        <v>0</v>
      </c>
      <c r="F37" s="10">
        <f t="shared" si="5"/>
        <v>0</v>
      </c>
      <c r="G37" s="31" t="str">
        <f xml:space="preserve"> "Co-Product Revenue $ per " &amp; IF(Sheet1!$A$2 = "dac", "ton captured", "MWh")</f>
        <v>Co-Product Revenue $ per MWh</v>
      </c>
      <c r="H37" s="35" t="s">
        <v>41</v>
      </c>
      <c r="I37" s="69"/>
    </row>
    <row r="38" spans="1:9" x14ac:dyDescent="0.75">
      <c r="A38" s="126"/>
      <c r="B38" s="126"/>
      <c r="C38" s="126"/>
      <c r="D38" s="126"/>
      <c r="E38" s="126"/>
      <c r="F38" s="127"/>
      <c r="G38" s="23" t="s">
        <v>52</v>
      </c>
      <c r="H38" s="24" t="s">
        <v>53</v>
      </c>
      <c r="I38" s="69"/>
    </row>
    <row r="39" spans="1:9" x14ac:dyDescent="0.75">
      <c r="A39" s="137"/>
      <c r="B39" s="137"/>
      <c r="C39" s="137"/>
      <c r="D39" s="137"/>
      <c r="E39" s="137"/>
      <c r="F39" s="137"/>
      <c r="G39" s="25" t="s">
        <v>45</v>
      </c>
      <c r="H39" s="26" t="s">
        <v>54</v>
      </c>
      <c r="I39" s="69"/>
    </row>
    <row r="40" spans="1:9" ht="30" customHeight="1" x14ac:dyDescent="0.75">
      <c r="A40" s="18"/>
      <c r="B40" s="18"/>
      <c r="C40" s="18"/>
      <c r="D40" s="18"/>
      <c r="E40" s="18"/>
      <c r="F40" s="18"/>
      <c r="G40" s="25" t="s">
        <v>47</v>
      </c>
      <c r="H40" s="42" t="s">
        <v>55</v>
      </c>
      <c r="I40" s="70"/>
    </row>
    <row r="41" spans="1:9" ht="29.5" x14ac:dyDescent="0.75">
      <c r="A41" s="18"/>
      <c r="B41" s="18"/>
      <c r="C41" s="18"/>
      <c r="D41" s="18"/>
      <c r="E41" s="18"/>
      <c r="F41" s="18"/>
      <c r="G41" s="25" t="str">
        <f xml:space="preserve"> "Units per " &amp; IF(Sheet1!$A$2 = "dac", "ton captured", "MWh")</f>
        <v>Units per MWh</v>
      </c>
      <c r="H41" s="77" t="str">
        <f xml:space="preserve"> "If the plant produced it, how many units would it produce per " &amp; IF(Sheet1!$A$2 = "dac", "ton of CO2 captured?", "after-losses MWh that the plant discharges?")</f>
        <v>If the plant produced it, how many units would it produce per after-losses MWh that the plant discharges?</v>
      </c>
      <c r="I41" s="66"/>
    </row>
    <row r="42" spans="1:9" ht="29.5" x14ac:dyDescent="0.75">
      <c r="A42" s="18"/>
      <c r="B42" s="18"/>
      <c r="C42" s="18"/>
      <c r="D42" s="18"/>
      <c r="E42" s="18"/>
      <c r="F42" s="18"/>
      <c r="G42" s="25" t="s">
        <v>50</v>
      </c>
      <c r="H42" s="77" t="s">
        <v>56</v>
      </c>
      <c r="I42" s="67"/>
    </row>
    <row r="43" spans="1:9" x14ac:dyDescent="0.75">
      <c r="A43" s="19"/>
      <c r="B43" s="19"/>
      <c r="C43" s="19"/>
      <c r="D43" s="19"/>
      <c r="E43" s="19"/>
      <c r="F43" s="19"/>
      <c r="G43" s="27" t="s">
        <v>57</v>
      </c>
      <c r="H43" s="89" t="s">
        <v>58</v>
      </c>
      <c r="I43" s="68"/>
    </row>
    <row r="44" spans="1:9" x14ac:dyDescent="0.75">
      <c r="A44" s="138"/>
      <c r="B44" s="126"/>
      <c r="C44" s="126"/>
      <c r="D44" s="126"/>
      <c r="E44" s="126"/>
      <c r="F44" s="127"/>
      <c r="G44" s="23" t="s">
        <v>59</v>
      </c>
      <c r="H44" s="90" t="s">
        <v>60</v>
      </c>
      <c r="I44" s="69"/>
    </row>
    <row r="45" spans="1:9" x14ac:dyDescent="0.75">
      <c r="A45" s="137"/>
      <c r="B45" s="137"/>
      <c r="C45" s="137"/>
      <c r="D45" s="137"/>
      <c r="E45" s="137"/>
      <c r="F45" s="137"/>
      <c r="G45" s="25" t="s">
        <v>45</v>
      </c>
      <c r="H45" s="91" t="s">
        <v>54</v>
      </c>
      <c r="I45" s="69"/>
    </row>
    <row r="46" spans="1:9" ht="30" customHeight="1" x14ac:dyDescent="0.75">
      <c r="A46" s="18"/>
      <c r="B46" s="18"/>
      <c r="C46" s="18"/>
      <c r="D46" s="18"/>
      <c r="E46" s="18"/>
      <c r="F46" s="18"/>
      <c r="G46" s="25" t="s">
        <v>47</v>
      </c>
      <c r="H46" s="77" t="s">
        <v>55</v>
      </c>
      <c r="I46" s="70"/>
    </row>
    <row r="47" spans="1:9" ht="29.5" x14ac:dyDescent="0.75">
      <c r="A47" s="18"/>
      <c r="B47" s="18"/>
      <c r="C47" s="18"/>
      <c r="D47" s="18"/>
      <c r="E47" s="18"/>
      <c r="F47" s="18"/>
      <c r="G47" s="25" t="str">
        <f xml:space="preserve"> "Units per " &amp; IF(Sheet1!$A$2 = "dac", "ton captured", "MWh")</f>
        <v>Units per MWh</v>
      </c>
      <c r="H47" s="77" t="str">
        <f xml:space="preserve"> "If the plant produced it, how many units would it produce per " &amp; IF(Sheet1!$A$2 = "dac", "ton of CO2 captured?", "after-losses MWh that the plant discharges?")</f>
        <v>If the plant produced it, how many units would it produce per after-losses MWh that the plant discharges?</v>
      </c>
      <c r="I47" s="66"/>
    </row>
    <row r="48" spans="1:9" ht="29.5" x14ac:dyDescent="0.75">
      <c r="A48" s="18"/>
      <c r="B48" s="18"/>
      <c r="C48" s="18"/>
      <c r="D48" s="18"/>
      <c r="E48" s="18"/>
      <c r="F48" s="18"/>
      <c r="G48" s="25" t="s">
        <v>50</v>
      </c>
      <c r="H48" s="77" t="s">
        <v>56</v>
      </c>
      <c r="I48" s="67"/>
    </row>
    <row r="49" spans="1:9" x14ac:dyDescent="0.75">
      <c r="A49" s="19"/>
      <c r="B49" s="19"/>
      <c r="C49" s="19"/>
      <c r="D49" s="19"/>
      <c r="E49" s="19"/>
      <c r="F49" s="19"/>
      <c r="G49" s="27" t="s">
        <v>57</v>
      </c>
      <c r="H49" s="89" t="s">
        <v>58</v>
      </c>
      <c r="I49" s="68"/>
    </row>
    <row r="50" spans="1:9" x14ac:dyDescent="0.75">
      <c r="A50" s="138"/>
      <c r="B50" s="126"/>
      <c r="C50" s="126"/>
      <c r="D50" s="126"/>
      <c r="E50" s="126"/>
      <c r="F50" s="127"/>
      <c r="G50" s="23" t="s">
        <v>61</v>
      </c>
      <c r="H50" s="90" t="s">
        <v>62</v>
      </c>
      <c r="I50" s="69"/>
    </row>
    <row r="51" spans="1:9" x14ac:dyDescent="0.75">
      <c r="A51" s="137"/>
      <c r="B51" s="137"/>
      <c r="C51" s="137"/>
      <c r="D51" s="137"/>
      <c r="E51" s="137"/>
      <c r="F51" s="137"/>
      <c r="G51" s="25" t="s">
        <v>45</v>
      </c>
      <c r="H51" s="91" t="s">
        <v>54</v>
      </c>
      <c r="I51" s="69"/>
    </row>
    <row r="52" spans="1:9" ht="30" customHeight="1" x14ac:dyDescent="0.75">
      <c r="A52" s="18"/>
      <c r="B52" s="18"/>
      <c r="C52" s="18"/>
      <c r="D52" s="18"/>
      <c r="E52" s="18"/>
      <c r="F52" s="18"/>
      <c r="G52" s="25" t="s">
        <v>47</v>
      </c>
      <c r="H52" s="77" t="s">
        <v>55</v>
      </c>
      <c r="I52" s="70"/>
    </row>
    <row r="53" spans="1:9" ht="29.5" x14ac:dyDescent="0.75">
      <c r="A53" s="18"/>
      <c r="B53" s="18"/>
      <c r="C53" s="18"/>
      <c r="D53" s="18"/>
      <c r="E53" s="18"/>
      <c r="F53" s="18"/>
      <c r="G53" s="25" t="str">
        <f xml:space="preserve"> "Units per " &amp; IF(Sheet1!$A$2 = "dac", "ton captured", "MWh")</f>
        <v>Units per MWh</v>
      </c>
      <c r="H53" s="77" t="str">
        <f xml:space="preserve"> "If the plant produced it, how many units would it produce per " &amp; IF(Sheet1!$A$2 = "dac", "ton of CO2 captured?", "after-losses MWh that the plant discharges?")</f>
        <v>If the plant produced it, how many units would it produce per after-losses MWh that the plant discharges?</v>
      </c>
      <c r="I53" s="66"/>
    </row>
    <row r="54" spans="1:9" ht="29.5" x14ac:dyDescent="0.75">
      <c r="A54" s="18"/>
      <c r="B54" s="18"/>
      <c r="C54" s="18"/>
      <c r="D54" s="18"/>
      <c r="E54" s="18"/>
      <c r="F54" s="18"/>
      <c r="G54" s="25" t="s">
        <v>50</v>
      </c>
      <c r="H54" s="77" t="s">
        <v>56</v>
      </c>
      <c r="I54" s="67"/>
    </row>
    <row r="55" spans="1:9" x14ac:dyDescent="0.75">
      <c r="A55" s="19"/>
      <c r="B55" s="19"/>
      <c r="C55" s="19"/>
      <c r="D55" s="19"/>
      <c r="E55" s="19"/>
      <c r="F55" s="19"/>
      <c r="G55" s="27" t="s">
        <v>57</v>
      </c>
      <c r="H55" s="89" t="s">
        <v>58</v>
      </c>
      <c r="I55" s="68"/>
    </row>
    <row r="56" spans="1:9" x14ac:dyDescent="0.75">
      <c r="A56" s="126"/>
      <c r="B56" s="126"/>
      <c r="C56" s="126"/>
      <c r="D56" s="126"/>
      <c r="E56" s="126"/>
      <c r="F56" s="126"/>
      <c r="G56" s="23" t="s">
        <v>63</v>
      </c>
      <c r="H56" s="90" t="s">
        <v>64</v>
      </c>
      <c r="I56" s="69"/>
    </row>
    <row r="57" spans="1:9" x14ac:dyDescent="0.75">
      <c r="A57" s="137"/>
      <c r="B57" s="137"/>
      <c r="C57" s="137"/>
      <c r="D57" s="137"/>
      <c r="E57" s="137"/>
      <c r="F57" s="137"/>
      <c r="G57" s="25" t="s">
        <v>45</v>
      </c>
      <c r="H57" s="91" t="s">
        <v>54</v>
      </c>
      <c r="I57" s="69"/>
    </row>
    <row r="58" spans="1:9" ht="30" customHeight="1" x14ac:dyDescent="0.75">
      <c r="A58" s="18"/>
      <c r="B58" s="18"/>
      <c r="C58" s="18"/>
      <c r="D58" s="18"/>
      <c r="E58" s="18"/>
      <c r="F58" s="18"/>
      <c r="G58" s="25" t="s">
        <v>47</v>
      </c>
      <c r="H58" s="77" t="s">
        <v>55</v>
      </c>
      <c r="I58" s="70"/>
    </row>
    <row r="59" spans="1:9" ht="29.5" x14ac:dyDescent="0.75">
      <c r="A59" s="18"/>
      <c r="B59" s="18"/>
      <c r="C59" s="18"/>
      <c r="D59" s="18"/>
      <c r="E59" s="18"/>
      <c r="F59" s="18"/>
      <c r="G59" s="25" t="str">
        <f xml:space="preserve"> "Units per " &amp; IF(Sheet1!$A$2 = "dac", "ton captured", "MWh")</f>
        <v>Units per MWh</v>
      </c>
      <c r="H59" s="77" t="str">
        <f xml:space="preserve"> "If the plant produced it, how many units would it produce per " &amp; IF(Sheet1!$A$2 = "dac", "ton of CO2 captured?", "after-losses MWh that the plant discharges?")</f>
        <v>If the plant produced it, how many units would it produce per after-losses MWh that the plant discharges?</v>
      </c>
      <c r="I59" s="66"/>
    </row>
    <row r="60" spans="1:9" ht="29.5" x14ac:dyDescent="0.75">
      <c r="A60" s="18"/>
      <c r="B60" s="18"/>
      <c r="C60" s="18"/>
      <c r="D60" s="18"/>
      <c r="E60" s="18"/>
      <c r="F60" s="18"/>
      <c r="G60" s="25" t="s">
        <v>50</v>
      </c>
      <c r="H60" s="42" t="s">
        <v>56</v>
      </c>
      <c r="I60" s="67"/>
    </row>
    <row r="61" spans="1:9" x14ac:dyDescent="0.75">
      <c r="A61" s="22"/>
      <c r="B61" s="22"/>
      <c r="C61" s="22"/>
      <c r="D61" s="22"/>
      <c r="E61" s="22"/>
      <c r="F61" s="22"/>
      <c r="G61" s="27" t="s">
        <v>57</v>
      </c>
      <c r="H61" s="28" t="s">
        <v>58</v>
      </c>
      <c r="I61" s="68"/>
    </row>
    <row r="62" spans="1:9" x14ac:dyDescent="0.75">
      <c r="A62" s="60"/>
      <c r="B62" s="60"/>
      <c r="C62" s="60"/>
      <c r="D62" s="60"/>
      <c r="E62" s="60"/>
      <c r="F62" s="60"/>
      <c r="G62" s="61"/>
      <c r="H62" s="59"/>
    </row>
    <row r="63" spans="1:9" ht="162.25" x14ac:dyDescent="0.75">
      <c r="A63" s="52"/>
      <c r="B63" s="52"/>
      <c r="C63" s="52"/>
      <c r="D63" s="52"/>
      <c r="E63" s="52"/>
      <c r="F63" s="52"/>
      <c r="G63" s="30" t="s">
        <v>115</v>
      </c>
      <c r="H63" s="71" t="s">
        <v>116</v>
      </c>
      <c r="I63" s="64"/>
    </row>
    <row r="64" spans="1:9" x14ac:dyDescent="0.75">
      <c r="A64" s="60"/>
      <c r="B64" s="60"/>
      <c r="C64" s="60"/>
      <c r="D64" s="60"/>
      <c r="E64" s="60"/>
      <c r="F64" s="60"/>
      <c r="G64" s="61"/>
      <c r="H64" s="62"/>
    </row>
  </sheetData>
  <sheetProtection sheet="1" formatColumns="0" formatRows="0"/>
  <mergeCells count="22">
    <mergeCell ref="I2:I3"/>
    <mergeCell ref="A57:F57"/>
    <mergeCell ref="A27:F27"/>
    <mergeCell ref="A22:F22"/>
    <mergeCell ref="A23:F23"/>
    <mergeCell ref="A28:F28"/>
    <mergeCell ref="A44:F44"/>
    <mergeCell ref="A50:F50"/>
    <mergeCell ref="A56:F56"/>
    <mergeCell ref="A39:F39"/>
    <mergeCell ref="A45:F45"/>
    <mergeCell ref="A51:F51"/>
    <mergeCell ref="A36:H36"/>
    <mergeCell ref="A6:F6"/>
    <mergeCell ref="A1:F1"/>
    <mergeCell ref="A38:F38"/>
    <mergeCell ref="H2:H3"/>
    <mergeCell ref="A2:B2"/>
    <mergeCell ref="C2:D2"/>
    <mergeCell ref="E2:F2"/>
    <mergeCell ref="G2:G3"/>
    <mergeCell ref="A20:H20"/>
  </mergeCells>
  <hyperlinks>
    <hyperlink ref="H5" r:id="rId1" display="&quot;You can enter any trio of 5th, 50th, and 95th percentiles at https://www.wolframcloud.com/obj/0c6d0c63-ec23-4543-88b1-b93ff920694c to see a &quot; &amp;&quot;probability distribution fitted to that trio as a way of checking whether you’re happy with the position of your 50th percentile relative to your 5th and 95th percentiles. &quot;" xr:uid="{F841DE06-6A60-4BFE-A71F-7EBBB83AEDB7}"/>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9BEA-BA24-46F5-8F0F-77C1FE452C0E}">
  <sheetPr codeName="Sheet3"/>
  <dimension ref="A1:H51"/>
  <sheetViews>
    <sheetView workbookViewId="0">
      <selection activeCell="A3" sqref="A3"/>
    </sheetView>
  </sheetViews>
  <sheetFormatPr defaultRowHeight="14.75" x14ac:dyDescent="0.75"/>
  <cols>
    <col min="1" max="3" width="11.1328125" customWidth="1"/>
    <col min="4" max="4" width="46.40625" customWidth="1"/>
    <col min="5" max="6" width="11.1328125" customWidth="1"/>
    <col min="8" max="8" width="22.40625" customWidth="1"/>
  </cols>
  <sheetData>
    <row r="1" spans="1:8" x14ac:dyDescent="0.75">
      <c r="A1" s="3" t="s">
        <v>65</v>
      </c>
    </row>
    <row r="2" spans="1:8" x14ac:dyDescent="0.75">
      <c r="A2" t="s">
        <v>66</v>
      </c>
    </row>
    <row r="5" spans="1:8" ht="51" customHeight="1" x14ac:dyDescent="0.75">
      <c r="A5" s="3" t="s">
        <v>67</v>
      </c>
      <c r="B5" s="3" t="s">
        <v>68</v>
      </c>
      <c r="C5" s="3" t="s">
        <v>69</v>
      </c>
      <c r="D5" s="3" t="s">
        <v>70</v>
      </c>
      <c r="G5" t="str">
        <f>IF(Sheet1!$A$2 = "dac", "LCOC $/ton plotted", "LCOE $/MWh plotted")</f>
        <v>LCOE $/MWh plotted</v>
      </c>
      <c r="H5" s="37" t="s">
        <v>71</v>
      </c>
    </row>
    <row r="6" spans="1:8" x14ac:dyDescent="0.75">
      <c r="A6" t="s">
        <v>72</v>
      </c>
      <c r="B6" t="s">
        <v>73</v>
      </c>
      <c r="C6" t="s">
        <v>74</v>
      </c>
      <c r="D6" s="4" t="s">
        <v>75</v>
      </c>
      <c r="E6" s="44" t="s">
        <v>76</v>
      </c>
    </row>
    <row r="7" spans="1:8" x14ac:dyDescent="0.75">
      <c r="A7" t="s">
        <v>77</v>
      </c>
      <c r="B7" t="s">
        <v>78</v>
      </c>
      <c r="C7" t="s">
        <v>79</v>
      </c>
      <c r="D7" s="4" t="s">
        <v>80</v>
      </c>
      <c r="E7" s="44" t="s">
        <v>81</v>
      </c>
    </row>
    <row r="8" spans="1:8" x14ac:dyDescent="0.75">
      <c r="A8" t="s">
        <v>82</v>
      </c>
      <c r="B8" t="s">
        <v>83</v>
      </c>
      <c r="C8" t="s">
        <v>84</v>
      </c>
      <c r="D8" s="4" t="s">
        <v>85</v>
      </c>
      <c r="E8" s="44" t="s">
        <v>85</v>
      </c>
    </row>
    <row r="9" spans="1:8" x14ac:dyDescent="0.75">
      <c r="A9" t="s">
        <v>66</v>
      </c>
      <c r="B9" t="s">
        <v>86</v>
      </c>
      <c r="C9" t="s">
        <v>87</v>
      </c>
      <c r="D9" s="4" t="s">
        <v>88</v>
      </c>
      <c r="E9" s="44" t="s">
        <v>89</v>
      </c>
    </row>
    <row r="10" spans="1:8" x14ac:dyDescent="0.75">
      <c r="A10" t="s">
        <v>90</v>
      </c>
      <c r="B10" t="s">
        <v>91</v>
      </c>
      <c r="C10" t="s">
        <v>92</v>
      </c>
      <c r="D10" s="4" t="s">
        <v>93</v>
      </c>
      <c r="E10" s="44" t="s">
        <v>94</v>
      </c>
    </row>
    <row r="11" spans="1:8" x14ac:dyDescent="0.75">
      <c r="A11" t="s">
        <v>95</v>
      </c>
      <c r="B11" t="s">
        <v>96</v>
      </c>
      <c r="C11" t="s">
        <v>97</v>
      </c>
      <c r="D11" s="4" t="s">
        <v>98</v>
      </c>
      <c r="E11" s="44" t="s">
        <v>99</v>
      </c>
    </row>
    <row r="13" spans="1:8" x14ac:dyDescent="0.75">
      <c r="B13" t="s">
        <v>100</v>
      </c>
      <c r="C13" t="s">
        <v>101</v>
      </c>
      <c r="D13" t="s">
        <v>102</v>
      </c>
    </row>
    <row r="14" spans="1:8" x14ac:dyDescent="0.75">
      <c r="A14" t="s">
        <v>24</v>
      </c>
      <c r="B14" s="34">
        <f>IF('Part 3--Levelized Cost'!B7 = "", 0, 'Part 3--Levelized Cost'!B7)</f>
        <v>0</v>
      </c>
      <c r="C14" s="34">
        <f>IF('Part 3--Levelized Cost'!D7 = "", 0, 'Part 3--Levelized Cost'!D7)</f>
        <v>0</v>
      </c>
      <c r="D14" s="34">
        <f>IF('Part 3--Levelized Cost'!F7 = "", 0, 'Part 3--Levelized Cost'!F7)</f>
        <v>0</v>
      </c>
    </row>
    <row r="15" spans="1:8" x14ac:dyDescent="0.75">
      <c r="A15" t="s">
        <v>23</v>
      </c>
      <c r="B15" s="34">
        <f>IF('Part 3--Levelized Cost'!A7 = "", 0, 'Part 3--Levelized Cost'!A7)</f>
        <v>0</v>
      </c>
      <c r="C15" s="34">
        <f>IF('Part 3--Levelized Cost'!C7 = "", 0, 'Part 3--Levelized Cost'!C7)</f>
        <v>0</v>
      </c>
      <c r="D15" s="34">
        <f>IF('Part 3--Levelized Cost'!E7 = "", 0, 'Part 3--Levelized Cost'!E7)</f>
        <v>0</v>
      </c>
    </row>
    <row r="36" spans="8:8" x14ac:dyDescent="0.75">
      <c r="H36" t="s">
        <v>58</v>
      </c>
    </row>
    <row r="41" spans="8:8" x14ac:dyDescent="0.75">
      <c r="H41" t="s">
        <v>58</v>
      </c>
    </row>
    <row r="46" spans="8:8" x14ac:dyDescent="0.75">
      <c r="H46" t="s">
        <v>58</v>
      </c>
    </row>
    <row r="51" spans="8:8" x14ac:dyDescent="0.75">
      <c r="H51" t="s">
        <v>58</v>
      </c>
    </row>
  </sheetData>
  <sheetProtection algorithmName="SHA-512" hashValue="lPKDuDzPuWPu0H/xw/kf8wVUyzDvwEOAgCMoaSRK5TjkCqf8+MiXjfunWXFVqL6g7/GHlVrqUHn1W23mi0RqiQ==" saltValue="4MbwXcxJgn6FjsmXFkdgh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1</vt:lpstr>
      <vt:lpstr>Part 2--Checklist</vt:lpstr>
      <vt:lpstr>Part 3--Levelized Cost</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Shawhan, Daniel 2</dc:creator>
  <cp:keywords/>
  <dc:description/>
  <cp:lastModifiedBy>Shawhan, Daniel</cp:lastModifiedBy>
  <cp:revision/>
  <dcterms:created xsi:type="dcterms:W3CDTF">2020-11-01T19:30:19Z</dcterms:created>
  <dcterms:modified xsi:type="dcterms:W3CDTF">2021-01-30T04:18:33Z</dcterms:modified>
  <cp:category/>
  <cp:contentStatus/>
</cp:coreProperties>
</file>