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66925"/>
  <mc:AlternateContent xmlns:mc="http://schemas.openxmlformats.org/markup-compatibility/2006">
    <mc:Choice Requires="x15">
      <x15ac:absPath xmlns:x15ac="http://schemas.microsoft.com/office/spreadsheetml/2010/11/ac" url="https://resources-my.sharepoint.com/personal/picciano_rff_org/Documents/E4ST/Innov Gates/Expert elicitation/CURRENT QUESTIONNAIRE/Final instrucs summaries Qs excerpts to send/"/>
    </mc:Choice>
  </mc:AlternateContent>
  <xr:revisionPtr revIDLastSave="1354" documentId="8_{7AF319B9-C416-476C-93E6-1C0FFA6B69A4}" xr6:coauthVersionLast="45" xr6:coauthVersionMax="45" xr10:uidLastSave="{43A58C53-E29B-4751-8645-8726321CB312}"/>
  <bookViews>
    <workbookView xWindow="-120" yWindow="-120" windowWidth="18240" windowHeight="28590" xr2:uid="{423EA987-56DA-4F56-8F89-396A58C93987}"/>
  </bookViews>
  <sheets>
    <sheet name="Part 1" sheetId="2" r:id="rId1"/>
    <sheet name="Part 2--Checklist" sheetId="4" r:id="rId2"/>
    <sheet name="Part 3--Levelized Cost" sheetId="1" r:id="rId3"/>
    <sheet name="Sheet1" sheetId="3" state="hidden" r:id="rId4"/>
  </sheets>
  <definedNames>
    <definedName name="_ftn1" localSheetId="2">'Part 3--Levelized Cost'!#REF!</definedName>
    <definedName name="_ftnref1" localSheetId="2">'Part 3--Levelized Cost'!#REF!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 l="1"/>
  <c r="C29" i="1"/>
  <c r="D29" i="1"/>
  <c r="E29" i="1"/>
  <c r="F29" i="1"/>
  <c r="A29" i="1"/>
  <c r="H7" i="1" l="1"/>
  <c r="H4" i="1"/>
  <c r="H28" i="1" l="1"/>
  <c r="H23" i="1"/>
  <c r="F34" i="1" l="1"/>
  <c r="A18" i="1"/>
  <c r="F18" i="1"/>
  <c r="D8" i="1"/>
  <c r="H32" i="1"/>
  <c r="H31" i="1"/>
  <c r="C23" i="1"/>
  <c r="D23" i="1"/>
  <c r="E23" i="1"/>
  <c r="F23" i="1"/>
  <c r="C28" i="1"/>
  <c r="D28" i="1"/>
  <c r="E28" i="1"/>
  <c r="F28" i="1"/>
  <c r="B23" i="1"/>
  <c r="B28" i="1"/>
  <c r="G5" i="1"/>
  <c r="E8" i="1"/>
  <c r="H16" i="1"/>
  <c r="G4" i="1"/>
  <c r="G7" i="1"/>
  <c r="H12" i="1"/>
  <c r="A33" i="1"/>
  <c r="C18" i="1" l="1"/>
  <c r="E18" i="1"/>
  <c r="D18" i="1"/>
  <c r="B18" i="1"/>
  <c r="F8" i="1" l="1"/>
  <c r="H19" i="1"/>
  <c r="G12" i="1" l="1"/>
  <c r="H26" i="1" l="1"/>
  <c r="B34" i="1"/>
  <c r="C34" i="1"/>
  <c r="D34" i="1"/>
  <c r="E34" i="1"/>
  <c r="A34" i="1"/>
  <c r="C5" i="4"/>
  <c r="A10" i="2"/>
  <c r="A14" i="2"/>
  <c r="A8" i="2" l="1"/>
  <c r="A6" i="2"/>
  <c r="H29" i="1" l="1"/>
  <c r="F7" i="1" l="1"/>
  <c r="G29" i="1"/>
  <c r="H1" i="1" l="1"/>
  <c r="G38" i="1" l="1"/>
  <c r="G5" i="3" l="1"/>
  <c r="H30" i="1" l="1"/>
  <c r="A16" i="2" l="1"/>
  <c r="H27" i="1" l="1"/>
  <c r="H25" i="1"/>
  <c r="G25" i="1"/>
  <c r="G28" i="1"/>
  <c r="G26" i="1"/>
  <c r="G27" i="1"/>
  <c r="H24" i="1"/>
  <c r="G24" i="1"/>
  <c r="G19" i="1"/>
  <c r="G22" i="1"/>
  <c r="H20" i="1"/>
  <c r="B8" i="1" l="1"/>
  <c r="C8" i="1"/>
  <c r="A8" i="1"/>
  <c r="G34" i="1" l="1"/>
  <c r="G18" i="1"/>
  <c r="H9" i="1"/>
  <c r="H11" i="1"/>
  <c r="G11" i="1"/>
  <c r="G9" i="1"/>
  <c r="G56" i="1"/>
  <c r="G50" i="1"/>
  <c r="G44" i="1"/>
  <c r="G30" i="1"/>
  <c r="G32" i="1"/>
  <c r="G31" i="1"/>
  <c r="B15" i="3" l="1"/>
  <c r="A7" i="1"/>
  <c r="H22" i="1"/>
  <c r="H56" i="1"/>
  <c r="H50" i="1"/>
  <c r="H44" i="1"/>
  <c r="H38" i="1"/>
  <c r="A1" i="1"/>
  <c r="D15" i="3" l="1"/>
  <c r="E7" i="1"/>
  <c r="C15" i="3"/>
  <c r="C7" i="1"/>
  <c r="C14" i="3"/>
  <c r="D7" i="1"/>
  <c r="B14" i="3"/>
  <c r="B7" i="1"/>
  <c r="D14" i="3"/>
</calcChain>
</file>

<file path=xl/sharedStrings.xml><?xml version="1.0" encoding="utf-8"?>
<sst xmlns="http://schemas.openxmlformats.org/spreadsheetml/2006/main" count="138" uniqueCount="98">
  <si>
    <t>With Legislation</t>
  </si>
  <si>
    <t>Without Legislation</t>
  </si>
  <si>
    <t>Expected operating lifetime in years (of the facility, not of the components whose replacement you included in your variable or annual fixed cost estimates)</t>
  </si>
  <si>
    <t>Item</t>
  </si>
  <si>
    <t>Price per unit</t>
  </si>
  <si>
    <t>Co-product 1</t>
  </si>
  <si>
    <t>Co-product 2</t>
  </si>
  <si>
    <t>Name of co-product 1</t>
  </si>
  <si>
    <t>Probability</t>
  </si>
  <si>
    <t>Name of co-product 2</t>
  </si>
  <si>
    <t>If the Legislation is enacted</t>
  </si>
  <si>
    <t>If the Legislation is not enacted</t>
  </si>
  <si>
    <t>Part 1</t>
  </si>
  <si>
    <t>Tech Type for workbook</t>
  </si>
  <si>
    <t>ccs</t>
  </si>
  <si>
    <t>Tech</t>
  </si>
  <si>
    <t>nuc</t>
  </si>
  <si>
    <t>dac</t>
  </si>
  <si>
    <t>stor</t>
  </si>
  <si>
    <t>geo</t>
  </si>
  <si>
    <t>mdstor</t>
  </si>
  <si>
    <t>nuclear fission power</t>
  </si>
  <si>
    <t>NG-CCS</t>
  </si>
  <si>
    <t>non-hydro multi-day electricity storage</t>
  </si>
  <si>
    <t>direct air capture</t>
  </si>
  <si>
    <t>nuclear fission power plant</t>
  </si>
  <si>
    <t>NG-fueled electric power plant with CO2 capture</t>
  </si>
  <si>
    <t>direct air capture facility</t>
  </si>
  <si>
    <t>non-hydro multi-day electricity storage facility</t>
  </si>
  <si>
    <t>plantname</t>
  </si>
  <si>
    <t>planttypes</t>
  </si>
  <si>
    <t>techname</t>
  </si>
  <si>
    <t>pressurized solid oxide fuel cell, supercritical direct CO2, NGCC with post-combustion amine-based capture</t>
  </si>
  <si>
    <t>liquid sorbent, solid sorbent</t>
  </si>
  <si>
    <t>lithium ion batteries, supercapacitors, flywheels</t>
  </si>
  <si>
    <t>flash, binary</t>
  </si>
  <si>
    <t>flow batteries, compressed air, hydrogen made from electricity</t>
  </si>
  <si>
    <t>large light water, small modular light water, thorium molten salt, uranium high-temperature gas</t>
  </si>
  <si>
    <t>Co-product 3</t>
  </si>
  <si>
    <t>Co-product 4</t>
  </si>
  <si>
    <t>Name of co-product 3</t>
  </si>
  <si>
    <t>Name of co-product 4</t>
  </si>
  <si>
    <t>Units</t>
  </si>
  <si>
    <t>What are the units you use to measure this product?</t>
  </si>
  <si>
    <t>Cost per unit</t>
  </si>
  <si>
    <t>50th percentile</t>
  </si>
  <si>
    <t>1. Please use the same year’s dollars throughout all of your answers. What year’s dollars do you use below?</t>
  </si>
  <si>
    <t>Capacity factor (%)</t>
  </si>
  <si>
    <t>Operating life (years)</t>
  </si>
  <si>
    <t>This row will automatically update using your answers from below</t>
  </si>
  <si>
    <t>Description of what to enter</t>
  </si>
  <si>
    <t>Capital Recovery Factor</t>
  </si>
  <si>
    <t>50th</t>
  </si>
  <si>
    <t>enhanced geothermal</t>
  </si>
  <si>
    <t>enhanced geothermal plant</t>
  </si>
  <si>
    <t>What would be the price received by the plant, per unit, if it produced this product? </t>
  </si>
  <si>
    <t>90th percentile</t>
  </si>
  <si>
    <t>10th percentile</t>
  </si>
  <si>
    <r>
      <t xml:space="preserve">Your six levelized costs will each be plotted on this number line once calculated. 
Also, click </t>
    </r>
    <r>
      <rPr>
        <u/>
        <sz val="11"/>
        <color theme="10"/>
        <rFont val="Calibri"/>
        <family val="2"/>
        <scheme val="minor"/>
      </rPr>
      <t>here</t>
    </r>
    <r>
      <rPr>
        <sz val="11"/>
        <color theme="10"/>
        <rFont val="Calibri"/>
        <family val="2"/>
        <scheme val="minor"/>
      </rPr>
      <t xml:space="preserve"> to go to a webpage where you can enter your percentiles and see a probability distribution fitted to them, as a way of checking the position of your 50th percentile relative to your 90th and 10th percentiles.</t>
    </r>
  </si>
  <si>
    <t>90th</t>
  </si>
  <si>
    <t>10th</t>
  </si>
  <si>
    <t>Please provide information below about the fuel needed to operate the plant, if any. 
You may omit fuels needed in trivial quantities or with trivial probabilities. Leave unneeded rows blank.</t>
  </si>
  <si>
    <t>lithium ion batteries, supercapacitors</t>
  </si>
  <si>
    <t>small modular light water, thorium molten salt</t>
  </si>
  <si>
    <t>Allam cycle, pressurized solid oxide fuel cell</t>
  </si>
  <si>
    <t>vanadium flow batteries, hydrogen electrolysis</t>
  </si>
  <si>
    <t>flash supercritical, closed loop</t>
  </si>
  <si>
    <t>In answering the questions you have answered so far, have you done the following?</t>
  </si>
  <si>
    <t>Set the difference between the values in each pair of columns so that it is your best, most precise guess of the expected value of the effect that enactment of the Legislation would have?</t>
  </si>
  <si>
    <t>Yes</t>
  </si>
  <si>
    <t>No</t>
  </si>
  <si>
    <t>Yellow cells are cells in which to enter answers. Please give one answer in each column for each question. Reminder: The differences between your answers in the two columns are crucial in the analysis, so please pay special attention to them. Instead of using round numbers in both columns, please set the difference between the values in the two columns so that it is your best, most precise guess of the expected value of the effect that enactment of the Legislation would have. Please do this on the Part 3 worksheet as well.</t>
  </si>
  <si>
    <t>Please also follow this checklist when answering Part 3. Thank you very much!</t>
  </si>
  <si>
    <t>Please see Parts 2 and 3 for the rest of the questions</t>
  </si>
  <si>
    <t>diurnal electricity storage</t>
  </si>
  <si>
    <t>diurnal electricity storage facility</t>
  </si>
  <si>
    <t>5. What subtype do you think is the second most likely to be the most cost-competitive to develop in 2035? Please describe the technology in at least a few words and explain your choice.</t>
  </si>
  <si>
    <t>Assumed enactment of the Legislation would increase federal government funding for ten years (2022-2031) relative to the case without the Legislation?</t>
  </si>
  <si>
    <t>Included indirect effects, e.g. the possibility that enactment could change private RD&amp;D or commercial deployment and consequently further change costs?</t>
  </si>
  <si>
    <t>Given cost estimates that are otherwise all-inclusive? For example, including all the costs of developing the facility, including the cost of financing it during construction?</t>
  </si>
  <si>
    <t>Is there an incremental cost of producing this co-product, that is not included in the costs reported above? If so, report total incremental cost divided by units produced.</t>
  </si>
  <si>
    <t xml:space="preserve">Percentage of the cost to build that is allocated to each year of plant's expected operating life. Calculated automatically once WACC and operating life are entered. </t>
  </si>
  <si>
    <r>
      <t>Answer Explanations</t>
    </r>
    <r>
      <rPr>
        <sz val="11"/>
        <color theme="1"/>
        <rFont val="Calibri"/>
        <family val="2"/>
        <scheme val="minor"/>
      </rPr>
      <t>. Can explain in the boxes below and/or in separate document. Answers can be larger than the boxes, need not be entirely visible in box.</t>
    </r>
  </si>
  <si>
    <r>
      <t>Answer Explanations.</t>
    </r>
    <r>
      <rPr>
        <b/>
        <sz val="11"/>
        <color theme="1"/>
        <rFont val="Calibri"/>
        <family val="2"/>
        <scheme val="minor"/>
      </rPr>
      <t xml:space="preserve"> </t>
    </r>
    <r>
      <rPr>
        <sz val="11"/>
        <color theme="1"/>
        <rFont val="Calibri"/>
        <family val="2"/>
        <scheme val="minor"/>
      </rPr>
      <t>Can explain in the boxes below and/or in separate document. Answers can be larger than the boxes, need not be entirely visible in box.</t>
    </r>
  </si>
  <si>
    <t>What is the probability that such a plant, if operated, would require this fuel? (0 to 1)</t>
  </si>
  <si>
    <t>What is the probability that such a plant, if operated, would produce this product? (0 to 1)</t>
  </si>
  <si>
    <t>Given cost estimates that do not reflect subsidies?</t>
  </si>
  <si>
    <t>PLEASE MAKE THE ROW BELOW AND THE ROW ABOVE MATCH TO WITHIN 1%</t>
  </si>
  <si>
    <t>Forced outage rate (%)</t>
  </si>
  <si>
    <t>Total outage rate (%)</t>
  </si>
  <si>
    <t>Average percentage derating of facility’s capacity due to unplanned outages, taking into account both complete and partial outages.</t>
  </si>
  <si>
    <t>Average percentage derating of facility’s capacity due to forced outages and planned maintenance outages together.</t>
  </si>
  <si>
    <r>
      <t xml:space="preserve">Your six levelized costs that you enter above will each be plotted on this number line. 
Also, click </t>
    </r>
    <r>
      <rPr>
        <u/>
        <sz val="11"/>
        <color theme="10"/>
        <rFont val="Calibri"/>
        <family val="2"/>
        <scheme val="minor"/>
      </rPr>
      <t>here</t>
    </r>
    <r>
      <rPr>
        <sz val="11"/>
        <color theme="10"/>
        <rFont val="Calibri"/>
        <family val="2"/>
        <scheme val="minor"/>
      </rPr>
      <t xml:space="preserve"> to go to a webpage where you can enter any trio of 90th, 50th, and 10th percentiles and see a probability distribution fitted to them, as a way of checking whether you are happy with the relative positions of your 90th, 50th, and 10th percentiles.</t>
    </r>
  </si>
  <si>
    <t>Included only technologies that meet the 50 GW criterion described in the instructions?</t>
  </si>
  <si>
    <t>Weighted average real cost of capital in % per year, during operations (i.e. after construction is complete). This is the weighted average of the real required expected rate of return on equity and the after-tax real cost of debt, weighted by the expected shares of equity and debt in financing the plant, once the plant is online. (WACC during development/construction should be included in Cost to Build, above.)</t>
  </si>
  <si>
    <t>Real Post-Construction WACC (%)</t>
  </si>
  <si>
    <t>Real post-construction WACC (%) for wind farms</t>
  </si>
  <si>
    <t>Weighted average real cost of capital in % per year, during operations (i.e. after construction is complete) for wind farms planned in 2035 and subsequently built. This is the weighted average of the real required expected rate of return on equity and the after-tax real cost of debt, weighted by the expected shares of equity and debt in financing the plant, once the plant is online. We ask for this so that we can calibrate your WACC answers, to be able to harmonize financial assumptions across the answers of the five geothermal cost experts. Your wind WACC answers should be for the geothermal 90th, 50th, and 10th percentile scenarios, not for wind 90th, 50th, and 10th percentile scenarios. However, cost of capital in general might contribute to the geothermal cost differences across the six scenarios, which is why the wind WACC too might vary across the six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</si>
</sst>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1"/>
      <color theme="1"/>
      <name val="Calibri"/>
      <family val="2"/>
      <scheme val="minor"/>
    </font>
    <font>
      <u/>
      <sz val="11"/>
      <color theme="1"/>
      <name val="Calibri"/>
      <family val="2"/>
      <scheme val="minor"/>
    </font>
    <font>
      <b/>
      <sz val="11"/>
      <color theme="1"/>
      <name val="Calibri"/>
      <family val="2"/>
      <scheme val="minor"/>
    </font>
    <font>
      <sz val="11"/>
      <color theme="0" tint="-0.499984740745262"/>
      <name val="Calibri"/>
      <family val="2"/>
      <scheme val="minor"/>
    </font>
    <font>
      <sz val="11"/>
      <color rgb="FF3F3F76"/>
      <name val="Calibri"/>
      <family val="2"/>
      <scheme val="minor"/>
    </font>
    <font>
      <b/>
      <u/>
      <sz val="11"/>
      <color theme="1"/>
      <name val="Calibri"/>
      <family val="2"/>
      <scheme val="minor"/>
    </font>
    <font>
      <sz val="11"/>
      <color theme="1"/>
      <name val="Calibri"/>
      <family val="2"/>
      <scheme val="minor"/>
    </font>
    <font>
      <u/>
      <sz val="11"/>
      <color theme="10"/>
      <name val="Calibri"/>
      <family val="2"/>
      <scheme val="minor"/>
    </font>
    <font>
      <sz val="11"/>
      <color theme="10"/>
      <name val="Calibri"/>
      <family val="2"/>
      <scheme val="minor"/>
    </font>
    <font>
      <b/>
      <i/>
      <sz val="12"/>
      <color theme="1"/>
      <name val="Times New Roman"/>
      <family val="1"/>
    </font>
    <font>
      <i/>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FCC99"/>
      </patternFill>
    </fill>
    <fill>
      <patternFill patternType="solid">
        <fgColor rgb="FFFFF2CC"/>
        <bgColor indexed="64"/>
      </patternFill>
    </fill>
  </fills>
  <borders count="3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style="thin">
        <color rgb="FFBFBFBF"/>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diagonal/>
    </border>
    <border>
      <left style="thin">
        <color indexed="64"/>
      </left>
      <right style="thin">
        <color rgb="FF7F7F7F"/>
      </right>
      <top style="thin">
        <color indexed="64"/>
      </top>
      <bottom style="thin">
        <color rgb="FF7F7F7F"/>
      </bottom>
      <diagonal/>
    </border>
    <border>
      <left style="thin">
        <color rgb="FF7F7F7F"/>
      </left>
      <right style="thin">
        <color rgb="FF7F7F7F"/>
      </right>
      <top style="thin">
        <color indexed="64"/>
      </top>
      <bottom style="thin">
        <color rgb="FF7F7F7F"/>
      </bottom>
      <diagonal/>
    </border>
    <border>
      <left style="thin">
        <color rgb="FF7F7F7F"/>
      </left>
      <right style="thin">
        <color indexed="64"/>
      </right>
      <top style="thin">
        <color indexed="64"/>
      </top>
      <bottom style="thin">
        <color rgb="FF7F7F7F"/>
      </bottom>
      <diagonal/>
    </border>
    <border>
      <left style="thin">
        <color rgb="FF7F7F7F"/>
      </left>
      <right style="thin">
        <color rgb="FF7F7F7F"/>
      </right>
      <top style="thin">
        <color rgb="FF7F7F7F"/>
      </top>
      <bottom style="thin">
        <color indexed="64"/>
      </bottom>
      <diagonal/>
    </border>
    <border>
      <left style="thin">
        <color rgb="FF7F7F7F"/>
      </left>
      <right/>
      <top style="thin">
        <color rgb="FF7F7F7F"/>
      </top>
      <bottom style="thin">
        <color rgb="FF7F7F7F"/>
      </bottom>
      <diagonal/>
    </border>
    <border>
      <left style="thin">
        <color rgb="FF7F7F7F"/>
      </left>
      <right/>
      <top style="thin">
        <color indexed="64"/>
      </top>
      <bottom style="thin">
        <color rgb="FF7F7F7F"/>
      </bottom>
      <diagonal/>
    </border>
    <border>
      <left style="thin">
        <color rgb="FF7F7F7F"/>
      </left>
      <right style="thin">
        <color rgb="FF7F7F7F"/>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style="thin">
        <color rgb="FF7F7F7F"/>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diagonal/>
    </border>
    <border>
      <left style="thin">
        <color indexed="64"/>
      </left>
      <right style="thin">
        <color indexed="64"/>
      </right>
      <top style="thin">
        <color rgb="FF7F7F7F"/>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7F7F7F"/>
      </bottom>
      <diagonal/>
    </border>
  </borders>
  <cellStyleXfs count="5">
    <xf numFmtId="0" fontId="0" fillId="0" borderId="0"/>
    <xf numFmtId="0" fontId="4" fillId="2" borderId="2" applyNumberFormat="0" applyAlignment="0" applyProtection="0"/>
    <xf numFmtId="9"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cellStyleXfs>
  <cellXfs count="132">
    <xf numFmtId="0" fontId="0" fillId="0" borderId="0" xfId="0"/>
    <xf numFmtId="0" fontId="0" fillId="0" borderId="0" xfId="0" applyAlignment="1">
      <alignment wrapText="1"/>
    </xf>
    <xf numFmtId="0" fontId="3" fillId="0" borderId="0" xfId="0" applyFont="1"/>
    <xf numFmtId="0" fontId="2" fillId="0" borderId="0" xfId="0" applyFont="1"/>
    <xf numFmtId="0" fontId="0" fillId="0" borderId="0" xfId="0" applyAlignment="1">
      <alignment wrapText="1"/>
    </xf>
    <xf numFmtId="0" fontId="0" fillId="0" borderId="0" xfId="0" applyAlignment="1">
      <alignment wrapText="1"/>
    </xf>
    <xf numFmtId="0" fontId="0" fillId="0" borderId="6" xfId="0" applyBorder="1"/>
    <xf numFmtId="0" fontId="2" fillId="0" borderId="9" xfId="0" applyFont="1" applyBorder="1"/>
    <xf numFmtId="0" fontId="0" fillId="0" borderId="10" xfId="0" applyBorder="1"/>
    <xf numFmtId="0" fontId="0" fillId="0" borderId="0" xfId="0" applyBorder="1" applyAlignment="1">
      <alignment vertical="center"/>
    </xf>
    <xf numFmtId="0" fontId="1" fillId="0" borderId="0" xfId="0" applyFont="1" applyBorder="1" applyAlignment="1">
      <alignment horizontal="center" vertical="center" wrapText="1"/>
    </xf>
    <xf numFmtId="0" fontId="0" fillId="0" borderId="0" xfId="0" applyBorder="1"/>
    <xf numFmtId="0" fontId="1" fillId="0" borderId="7" xfId="0" applyFont="1" applyBorder="1" applyAlignment="1">
      <alignment horizontal="center" vertical="center" wrapText="1"/>
    </xf>
    <xf numFmtId="0" fontId="0" fillId="0" borderId="7" xfId="0" applyBorder="1"/>
    <xf numFmtId="0" fontId="0" fillId="0" borderId="0" xfId="0" applyFont="1" applyBorder="1" applyAlignment="1"/>
    <xf numFmtId="0" fontId="1" fillId="0" borderId="7" xfId="0" applyFont="1" applyBorder="1" applyAlignment="1">
      <alignment horizontal="center" vertical="center" wrapText="1"/>
    </xf>
    <xf numFmtId="0" fontId="2" fillId="0" borderId="8" xfId="0" applyFont="1" applyBorder="1" applyAlignment="1" applyProtection="1">
      <alignment horizontal="center"/>
      <protection hidden="1"/>
    </xf>
    <xf numFmtId="0" fontId="2" fillId="0" borderId="1" xfId="0" applyFont="1" applyBorder="1" applyAlignment="1" applyProtection="1">
      <alignment horizontal="center"/>
      <protection hidden="1"/>
    </xf>
    <xf numFmtId="0" fontId="0" fillId="0" borderId="3" xfId="0" applyBorder="1" applyAlignment="1" applyProtection="1">
      <alignment wrapText="1"/>
      <protection hidden="1"/>
    </xf>
    <xf numFmtId="0" fontId="2" fillId="0" borderId="5" xfId="0" applyFont="1" applyBorder="1" applyProtection="1">
      <protection hidden="1"/>
    </xf>
    <xf numFmtId="2" fontId="0" fillId="0" borderId="0" xfId="0" applyNumberFormat="1" applyBorder="1" applyProtection="1">
      <protection hidden="1"/>
    </xf>
    <xf numFmtId="10" fontId="0" fillId="0" borderId="0" xfId="2" applyNumberFormat="1" applyFont="1" applyProtection="1"/>
    <xf numFmtId="0" fontId="4" fillId="3" borderId="18" xfId="1" applyFill="1" applyBorder="1" applyProtection="1">
      <protection locked="0"/>
    </xf>
    <xf numFmtId="0" fontId="4" fillId="3" borderId="2" xfId="1" applyFill="1" applyProtection="1">
      <protection locked="0"/>
    </xf>
    <xf numFmtId="0" fontId="4" fillId="3" borderId="13" xfId="1" applyFill="1" applyBorder="1" applyProtection="1">
      <protection locked="0"/>
    </xf>
    <xf numFmtId="9" fontId="4" fillId="3" borderId="13" xfId="2" applyFont="1" applyFill="1" applyBorder="1" applyProtection="1">
      <protection locked="0"/>
    </xf>
    <xf numFmtId="9" fontId="4" fillId="3" borderId="17" xfId="2" applyFont="1" applyFill="1" applyBorder="1" applyProtection="1">
      <protection locked="0"/>
    </xf>
    <xf numFmtId="0" fontId="4" fillId="3" borderId="17" xfId="1" applyFill="1" applyBorder="1" applyProtection="1">
      <protection locked="0"/>
    </xf>
    <xf numFmtId="0" fontId="5" fillId="0" borderId="5" xfId="0" applyFont="1" applyBorder="1" applyAlignment="1" applyProtection="1">
      <alignment vertical="center" wrapText="1"/>
      <protection hidden="1"/>
    </xf>
    <xf numFmtId="0" fontId="0" fillId="0" borderId="6" xfId="0" applyBorder="1" applyProtection="1">
      <protection hidden="1"/>
    </xf>
    <xf numFmtId="0" fontId="2" fillId="0" borderId="7" xfId="0" applyFont="1" applyBorder="1" applyAlignment="1" applyProtection="1">
      <alignment horizontal="left" vertical="center" wrapText="1" indent="1"/>
      <protection hidden="1"/>
    </xf>
    <xf numFmtId="0" fontId="0" fillId="0" borderId="1" xfId="0" applyBorder="1" applyProtection="1">
      <protection hidden="1"/>
    </xf>
    <xf numFmtId="0" fontId="2" fillId="0" borderId="9" xfId="0" applyFont="1" applyBorder="1" applyAlignment="1" applyProtection="1">
      <alignment horizontal="left" vertical="center" wrapText="1" indent="1"/>
      <protection hidden="1"/>
    </xf>
    <xf numFmtId="0" fontId="0" fillId="0" borderId="10" xfId="0" applyBorder="1" applyAlignment="1" applyProtection="1">
      <alignment wrapText="1"/>
      <protection hidden="1"/>
    </xf>
    <xf numFmtId="0" fontId="0" fillId="0" borderId="5" xfId="0" applyBorder="1" applyAlignment="1" applyProtection="1">
      <alignment vertical="center"/>
      <protection hidden="1"/>
    </xf>
    <xf numFmtId="0" fontId="2" fillId="0" borderId="7" xfId="0" applyFont="1" applyBorder="1" applyAlignment="1" applyProtection="1">
      <alignment vertical="center" wrapText="1"/>
      <protection hidden="1"/>
    </xf>
    <xf numFmtId="0" fontId="0" fillId="0" borderId="1" xfId="0" applyFont="1" applyBorder="1" applyAlignment="1" applyProtection="1">
      <alignment horizontal="left" vertical="center" wrapText="1"/>
      <protection hidden="1"/>
    </xf>
    <xf numFmtId="0" fontId="0" fillId="0" borderId="1" xfId="0" applyFont="1" applyBorder="1" applyAlignment="1" applyProtection="1">
      <alignment wrapText="1"/>
      <protection hidden="1"/>
    </xf>
    <xf numFmtId="0" fontId="2" fillId="0" borderId="9" xfId="0" applyFont="1" applyBorder="1" applyAlignment="1" applyProtection="1">
      <alignment vertical="center" wrapText="1"/>
      <protection hidden="1"/>
    </xf>
    <xf numFmtId="0" fontId="0" fillId="0" borderId="10" xfId="0" applyBorder="1" applyAlignment="1" applyProtection="1">
      <alignment vertical="center" wrapText="1"/>
      <protection hidden="1"/>
    </xf>
    <xf numFmtId="0" fontId="2" fillId="0" borderId="5" xfId="0" applyFont="1" applyFill="1" applyBorder="1" applyAlignment="1" applyProtection="1">
      <alignment vertical="center" wrapText="1"/>
      <protection hidden="1"/>
    </xf>
    <xf numFmtId="2" fontId="0" fillId="0" borderId="0" xfId="0" applyNumberFormat="1"/>
    <xf numFmtId="0" fontId="0" fillId="0" borderId="10" xfId="0" applyBorder="1" applyAlignment="1" applyProtection="1">
      <alignment horizontal="left" vertical="center" wrapText="1"/>
      <protection hidden="1"/>
    </xf>
    <xf numFmtId="0" fontId="0" fillId="3" borderId="4" xfId="3" applyNumberFormat="1" applyFont="1" applyFill="1" applyBorder="1" applyAlignment="1" applyProtection="1">
      <alignment horizontal="center"/>
      <protection locked="0"/>
    </xf>
    <xf numFmtId="0" fontId="0" fillId="0" borderId="1" xfId="0" applyBorder="1" applyAlignment="1" applyProtection="1">
      <alignment vertical="top" wrapText="1"/>
      <protection hidden="1"/>
    </xf>
    <xf numFmtId="0" fontId="8" fillId="0" borderId="1" xfId="4" applyFont="1" applyBorder="1" applyAlignment="1" applyProtection="1">
      <alignment vertical="top" wrapText="1"/>
      <protection hidden="1"/>
    </xf>
    <xf numFmtId="0" fontId="8" fillId="0" borderId="0" xfId="0" applyFont="1" applyAlignment="1">
      <alignment wrapText="1"/>
    </xf>
    <xf numFmtId="0" fontId="4" fillId="0" borderId="20" xfId="2" applyNumberFormat="1" applyFont="1" applyFill="1" applyBorder="1" applyProtection="1"/>
    <xf numFmtId="9" fontId="4" fillId="3" borderId="15" xfId="2" applyFont="1" applyFill="1" applyBorder="1" applyProtection="1">
      <protection locked="0"/>
    </xf>
    <xf numFmtId="9" fontId="4" fillId="3" borderId="19" xfId="2" applyFont="1" applyFill="1" applyBorder="1" applyProtection="1">
      <protection locked="0"/>
    </xf>
    <xf numFmtId="0" fontId="4" fillId="3" borderId="13" xfId="2" applyNumberFormat="1" applyFont="1" applyFill="1" applyBorder="1" applyProtection="1">
      <protection locked="0"/>
    </xf>
    <xf numFmtId="0" fontId="0" fillId="0" borderId="1" xfId="0" applyBorder="1" applyAlignment="1" applyProtection="1">
      <alignment wrapText="1"/>
      <protection hidden="1"/>
    </xf>
    <xf numFmtId="0" fontId="4" fillId="3" borderId="20" xfId="2" applyNumberFormat="1" applyFont="1" applyFill="1" applyBorder="1" applyProtection="1">
      <protection locked="0"/>
    </xf>
    <xf numFmtId="0" fontId="0" fillId="0" borderId="0" xfId="0" applyAlignment="1"/>
    <xf numFmtId="0" fontId="1" fillId="0" borderId="0" xfId="0" applyFont="1" applyAlignment="1">
      <alignment horizontal="center"/>
    </xf>
    <xf numFmtId="0" fontId="0" fillId="0" borderId="0" xfId="0" applyAlignment="1">
      <alignment vertical="center"/>
    </xf>
    <xf numFmtId="0" fontId="10" fillId="0" borderId="0" xfId="0" applyFont="1"/>
    <xf numFmtId="0" fontId="0" fillId="0" borderId="6" xfId="0" applyBorder="1" applyAlignment="1" applyProtection="1">
      <alignment vertical="center" wrapText="1"/>
      <protection hidden="1"/>
    </xf>
    <xf numFmtId="0" fontId="4" fillId="3" borderId="15" xfId="1" applyFill="1" applyBorder="1" applyProtection="1">
      <protection locked="0"/>
    </xf>
    <xf numFmtId="0" fontId="4" fillId="3" borderId="24" xfId="1" applyFill="1" applyBorder="1" applyProtection="1">
      <protection locked="0"/>
    </xf>
    <xf numFmtId="10" fontId="0" fillId="0" borderId="23" xfId="2" applyNumberFormat="1" applyFont="1" applyBorder="1" applyProtection="1"/>
    <xf numFmtId="0" fontId="4" fillId="3" borderId="16" xfId="1" applyFill="1" applyBorder="1" applyProtection="1">
      <protection locked="0"/>
    </xf>
    <xf numFmtId="0" fontId="0" fillId="0" borderId="22" xfId="0" applyBorder="1" applyAlignment="1" applyProtection="1">
      <alignment vertical="center" wrapText="1"/>
      <protection hidden="1"/>
    </xf>
    <xf numFmtId="9" fontId="4" fillId="3" borderId="2" xfId="2" applyFont="1" applyFill="1" applyBorder="1" applyProtection="1">
      <protection locked="0"/>
    </xf>
    <xf numFmtId="164" fontId="0" fillId="3" borderId="11" xfId="3" applyNumberFormat="1" applyFont="1" applyFill="1" applyBorder="1" applyAlignment="1" applyProtection="1">
      <alignment horizontal="center"/>
      <protection locked="0"/>
    </xf>
    <xf numFmtId="164" fontId="0" fillId="3" borderId="10" xfId="3" applyNumberFormat="1" applyFont="1" applyFill="1" applyBorder="1" applyAlignment="1" applyProtection="1">
      <alignment horizontal="center"/>
      <protection locked="0"/>
    </xf>
    <xf numFmtId="0" fontId="0" fillId="3" borderId="1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2" xfId="0"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Protection="1">
      <protection locked="0"/>
    </xf>
    <xf numFmtId="0" fontId="0" fillId="0" borderId="0" xfId="0" applyBorder="1" applyAlignment="1" applyProtection="1">
      <alignment vertical="center"/>
      <protection locked="0"/>
    </xf>
    <xf numFmtId="0" fontId="0" fillId="0" borderId="0" xfId="0" applyBorder="1" applyProtection="1">
      <protection locked="0"/>
    </xf>
    <xf numFmtId="0" fontId="5" fillId="0" borderId="7" xfId="0" applyFont="1" applyBorder="1" applyAlignment="1" applyProtection="1">
      <alignment horizontal="left" vertical="center" wrapText="1"/>
      <protection locked="0"/>
    </xf>
    <xf numFmtId="0" fontId="3" fillId="0" borderId="0" xfId="0" applyFont="1" applyProtection="1">
      <protection locked="0"/>
    </xf>
    <xf numFmtId="0" fontId="4" fillId="3" borderId="25" xfId="1" applyFill="1" applyBorder="1" applyAlignment="1" applyProtection="1">
      <alignment wrapText="1"/>
      <protection locked="0"/>
    </xf>
    <xf numFmtId="9" fontId="11" fillId="3" borderId="26" xfId="2" applyFont="1" applyFill="1" applyBorder="1" applyAlignment="1" applyProtection="1">
      <alignment wrapText="1"/>
      <protection locked="0"/>
    </xf>
    <xf numFmtId="0" fontId="11" fillId="3" borderId="26" xfId="1" applyFont="1" applyFill="1" applyBorder="1" applyAlignment="1" applyProtection="1">
      <alignment wrapText="1"/>
      <protection locked="0"/>
    </xf>
    <xf numFmtId="0" fontId="11" fillId="3" borderId="8" xfId="2" applyNumberFormat="1" applyFont="1" applyFill="1" applyBorder="1" applyAlignment="1" applyProtection="1">
      <alignment wrapText="1"/>
      <protection locked="0"/>
    </xf>
    <xf numFmtId="9" fontId="11" fillId="3" borderId="27" xfId="2" applyFont="1" applyFill="1" applyBorder="1" applyAlignment="1" applyProtection="1">
      <alignment wrapText="1"/>
      <protection locked="0"/>
    </xf>
    <xf numFmtId="9" fontId="11" fillId="3" borderId="28" xfId="2" applyFont="1" applyFill="1" applyBorder="1" applyAlignment="1" applyProtection="1">
      <alignment wrapText="1"/>
      <protection locked="0"/>
    </xf>
    <xf numFmtId="0" fontId="11" fillId="0" borderId="0" xfId="0" applyFont="1" applyAlignment="1" applyProtection="1">
      <alignment wrapText="1"/>
      <protection locked="0"/>
    </xf>
    <xf numFmtId="0" fontId="11" fillId="3" borderId="25" xfId="1" applyFont="1" applyFill="1" applyBorder="1" applyAlignment="1" applyProtection="1">
      <alignment wrapText="1"/>
      <protection locked="0"/>
    </xf>
    <xf numFmtId="0" fontId="0" fillId="0" borderId="1" xfId="0"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4" fillId="3" borderId="2" xfId="2" applyNumberFormat="1" applyFont="1" applyFill="1" applyBorder="1" applyProtection="1">
      <protection locked="0"/>
    </xf>
    <xf numFmtId="2" fontId="0" fillId="0" borderId="1" xfId="0" applyNumberFormat="1" applyBorder="1" applyAlignment="1" applyProtection="1">
      <alignment horizontal="center"/>
    </xf>
    <xf numFmtId="2" fontId="0" fillId="0" borderId="0" xfId="0" applyNumberFormat="1" applyBorder="1" applyAlignment="1" applyProtection="1">
      <alignment horizontal="center"/>
    </xf>
    <xf numFmtId="0" fontId="4" fillId="0" borderId="13" xfId="1" applyFill="1" applyBorder="1" applyProtection="1"/>
    <xf numFmtId="0" fontId="4" fillId="0" borderId="17" xfId="1" applyFill="1" applyBorder="1" applyProtection="1"/>
    <xf numFmtId="0" fontId="11" fillId="3" borderId="27" xfId="2" applyNumberFormat="1" applyFont="1" applyFill="1" applyBorder="1" applyAlignment="1" applyProtection="1">
      <alignment wrapText="1"/>
      <protection locked="0"/>
    </xf>
    <xf numFmtId="0" fontId="11" fillId="3" borderId="30" xfId="2" applyNumberFormat="1" applyFont="1" applyFill="1" applyBorder="1" applyAlignment="1" applyProtection="1">
      <alignment wrapText="1"/>
      <protection locked="0"/>
    </xf>
    <xf numFmtId="0" fontId="5" fillId="0" borderId="7"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11" fillId="3" borderId="29" xfId="1" applyFont="1" applyFill="1" applyBorder="1" applyAlignment="1" applyProtection="1">
      <alignment vertical="center" wrapText="1"/>
      <protection locked="0"/>
    </xf>
    <xf numFmtId="0" fontId="11" fillId="3" borderId="30" xfId="1" applyFont="1" applyFill="1" applyBorder="1" applyAlignment="1" applyProtection="1">
      <alignment vertical="center" wrapText="1"/>
      <protection locked="0"/>
    </xf>
    <xf numFmtId="0" fontId="11" fillId="3" borderId="27" xfId="1" applyFont="1" applyFill="1" applyBorder="1" applyAlignment="1" applyProtection="1">
      <alignment wrapText="1"/>
      <protection locked="0"/>
    </xf>
    <xf numFmtId="0" fontId="11" fillId="3" borderId="30" xfId="1" applyFont="1" applyFill="1" applyBorder="1" applyAlignment="1" applyProtection="1">
      <alignment wrapText="1"/>
      <protection locked="0"/>
    </xf>
    <xf numFmtId="0" fontId="2" fillId="0" borderId="7" xfId="0" applyFont="1" applyBorder="1" applyAlignment="1">
      <alignment horizontal="center" wrapText="1"/>
    </xf>
    <xf numFmtId="0" fontId="2" fillId="0" borderId="1" xfId="0" applyFont="1" applyBorder="1" applyAlignment="1">
      <alignment horizontal="center" wrapText="1"/>
    </xf>
    <xf numFmtId="0" fontId="9" fillId="0" borderId="7"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0" fillId="0" borderId="5" xfId="0" applyBorder="1" applyAlignment="1" applyProtection="1">
      <alignment wrapText="1"/>
      <protection hidden="1"/>
    </xf>
    <xf numFmtId="0" fontId="0" fillId="0" borderId="6" xfId="0" applyBorder="1" applyAlignment="1" applyProtection="1">
      <alignment wrapText="1"/>
      <protection hidden="1"/>
    </xf>
    <xf numFmtId="0" fontId="0" fillId="0" borderId="5" xfId="0" applyFont="1" applyBorder="1" applyAlignment="1" applyProtection="1">
      <alignment wrapText="1"/>
      <protection hidden="1"/>
    </xf>
    <xf numFmtId="0" fontId="0" fillId="0" borderId="6" xfId="0" applyFont="1" applyBorder="1" applyAlignment="1" applyProtection="1">
      <alignment wrapText="1"/>
      <protection hidden="1"/>
    </xf>
    <xf numFmtId="0" fontId="0" fillId="0" borderId="7" xfId="0" applyBorder="1" applyAlignment="1">
      <alignment horizontal="center"/>
    </xf>
    <xf numFmtId="0" fontId="0" fillId="0" borderId="1" xfId="0" applyBorder="1" applyAlignment="1">
      <alignment horizontal="center"/>
    </xf>
    <xf numFmtId="0" fontId="0" fillId="0" borderId="5" xfId="0" applyBorder="1" applyAlignment="1" applyProtection="1">
      <alignment horizontal="left" wrapText="1"/>
      <protection hidden="1"/>
    </xf>
    <xf numFmtId="0" fontId="0" fillId="0" borderId="6" xfId="0" applyBorder="1" applyAlignment="1" applyProtection="1">
      <alignment horizontal="left" wrapText="1"/>
      <protection hidden="1"/>
    </xf>
    <xf numFmtId="0" fontId="5" fillId="0" borderId="7" xfId="0" applyFont="1" applyBorder="1" applyAlignment="1" applyProtection="1">
      <alignment horizontal="left" vertical="center" wrapText="1"/>
      <protection locked="0"/>
    </xf>
    <xf numFmtId="0" fontId="4" fillId="3" borderId="2" xfId="1" applyFill="1" applyAlignment="1" applyProtection="1">
      <alignment horizontal="center"/>
      <protection locked="0"/>
    </xf>
    <xf numFmtId="0" fontId="4" fillId="3" borderId="14" xfId="1" applyFill="1" applyBorder="1" applyAlignment="1" applyProtection="1">
      <alignment horizontal="center"/>
      <protection locked="0"/>
    </xf>
    <xf numFmtId="0" fontId="4" fillId="3" borderId="15" xfId="1" applyFill="1" applyBorder="1" applyAlignment="1" applyProtection="1">
      <alignment horizontal="center"/>
      <protection locked="0"/>
    </xf>
    <xf numFmtId="0" fontId="4" fillId="3" borderId="19" xfId="1" applyFill="1" applyBorder="1" applyAlignment="1" applyProtection="1">
      <alignment horizontal="center"/>
      <protection locked="0"/>
    </xf>
    <xf numFmtId="0" fontId="4" fillId="3" borderId="18" xfId="1" applyFill="1" applyBorder="1" applyAlignment="1" applyProtection="1">
      <alignment horizontal="center"/>
      <protection locked="0"/>
    </xf>
    <xf numFmtId="0" fontId="4" fillId="3" borderId="16" xfId="1" applyFill="1" applyBorder="1" applyAlignment="1" applyProtection="1">
      <alignment horizontal="center"/>
      <protection locked="0"/>
    </xf>
    <xf numFmtId="0" fontId="2" fillId="0" borderId="5"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6" xfId="0" applyFont="1" applyBorder="1" applyAlignment="1" applyProtection="1">
      <alignment horizontal="left" wrapText="1"/>
      <protection hidden="1"/>
    </xf>
    <xf numFmtId="0" fontId="0" fillId="0" borderId="3" xfId="0" applyBorder="1" applyAlignment="1" applyProtection="1">
      <alignment horizontal="center"/>
      <protection hidden="1"/>
    </xf>
    <xf numFmtId="0" fontId="0" fillId="0" borderId="12" xfId="0" applyBorder="1" applyAlignment="1" applyProtection="1">
      <alignment horizontal="center"/>
      <protection hidden="1"/>
    </xf>
    <xf numFmtId="0" fontId="5" fillId="0" borderId="1" xfId="0" applyFont="1" applyBorder="1" applyAlignment="1" applyProtection="1">
      <alignment horizontal="center" vertical="center" wrapText="1"/>
      <protection hidden="1"/>
    </xf>
    <xf numFmtId="0" fontId="1" fillId="0" borderId="7" xfId="0" applyFont="1" applyBorder="1" applyAlignment="1">
      <alignment horizontal="center"/>
    </xf>
    <xf numFmtId="0" fontId="1" fillId="0" borderId="0" xfId="0" applyFont="1" applyBorder="1" applyAlignment="1">
      <alignment horizontal="center"/>
    </xf>
    <xf numFmtId="0" fontId="5" fillId="0" borderId="7"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2" fillId="0" borderId="7" xfId="0" applyFont="1" applyBorder="1" applyAlignment="1" applyProtection="1">
      <alignment wrapText="1"/>
      <protection hidden="1"/>
    </xf>
    <xf numFmtId="0" fontId="2" fillId="0" borderId="0" xfId="0" applyFont="1" applyBorder="1" applyAlignment="1" applyProtection="1">
      <alignment wrapText="1"/>
      <protection hidden="1"/>
    </xf>
    <xf numFmtId="0" fontId="2" fillId="0" borderId="1" xfId="0" applyFont="1" applyBorder="1" applyAlignment="1" applyProtection="1">
      <alignment wrapText="1"/>
      <protection hidden="1"/>
    </xf>
    <xf numFmtId="2" fontId="2" fillId="0" borderId="0" xfId="0" applyNumberFormat="1" applyFont="1" applyBorder="1" applyAlignment="1" applyProtection="1">
      <alignment horizontal="center" vertical="center" wrapText="1"/>
      <protection hidden="1"/>
    </xf>
    <xf numFmtId="2" fontId="0" fillId="0" borderId="0" xfId="0" applyNumberFormat="1" applyBorder="1" applyAlignment="1" applyProtection="1">
      <alignment horizontal="center" vertical="center" wrapText="1"/>
      <protection hidden="1"/>
    </xf>
  </cellXfs>
  <cellStyles count="5">
    <cellStyle name="Currency" xfId="3" builtinId="4"/>
    <cellStyle name="Hyperlink" xfId="4" builtinId="8"/>
    <cellStyle name="Input" xfId="1" builtinId="20"/>
    <cellStyle name="Normal" xfId="0" builtinId="0"/>
    <cellStyle name="Percent" xfId="2" builtinId="5"/>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06036745406826E-2"/>
          <c:y val="0.73189814814814813"/>
          <c:w val="0.863571741032371"/>
          <c:h val="5.4799139690871988E-2"/>
        </c:manualLayout>
      </c:layout>
      <c:scatterChart>
        <c:scatterStyle val="lineMarker"/>
        <c:varyColors val="0"/>
        <c:ser>
          <c:idx val="1"/>
          <c:order val="0"/>
          <c:tx>
            <c:strRef>
              <c:f>Sheet1!$A$15</c:f>
              <c:strCache>
                <c:ptCount val="1"/>
                <c:pt idx="0">
                  <c:v>Without Legislation</c:v>
                </c:pt>
              </c:strCache>
            </c:strRef>
          </c:tx>
          <c:spPr>
            <a:ln w="25400" cap="rnd">
              <a:noFill/>
              <a:round/>
            </a:ln>
            <a:effectLst/>
          </c:spPr>
          <c:marker>
            <c:symbol val="circle"/>
            <c:size val="5"/>
            <c:spPr>
              <a:solidFill>
                <a:schemeClr val="accent2"/>
              </a:solidFill>
              <a:ln w="9525">
                <a:solidFill>
                  <a:schemeClr val="accent2"/>
                </a:solidFill>
              </a:ln>
              <a:effectLst/>
            </c:spPr>
          </c:marker>
          <c:xVal>
            <c:numRef>
              <c:f>Sheet1!$B$15:$D$15</c:f>
              <c:numCache>
                <c:formatCode>0.00</c:formatCode>
                <c:ptCount val="3"/>
                <c:pt idx="0">
                  <c:v>0</c:v>
                </c:pt>
                <c:pt idx="1">
                  <c:v>0</c:v>
                </c:pt>
                <c:pt idx="2">
                  <c:v>0</c:v>
                </c:pt>
              </c:numCache>
            </c:numRef>
          </c:xVal>
          <c:yVal>
            <c:numLit>
              <c:formatCode>General</c:formatCode>
              <c:ptCount val="3"/>
              <c:pt idx="0">
                <c:v>0</c:v>
              </c:pt>
              <c:pt idx="1">
                <c:v>0</c:v>
              </c:pt>
              <c:pt idx="2">
                <c:v>0</c:v>
              </c:pt>
            </c:numLit>
          </c:yVal>
          <c:smooth val="0"/>
          <c:extLst>
            <c:ext xmlns:c16="http://schemas.microsoft.com/office/drawing/2014/chart" uri="{C3380CC4-5D6E-409C-BE32-E72D297353CC}">
              <c16:uniqueId val="{00000001-78EC-42A6-8355-ED69953F30C3}"/>
            </c:ext>
          </c:extLst>
        </c:ser>
        <c:ser>
          <c:idx val="0"/>
          <c:order val="1"/>
          <c:tx>
            <c:strRef>
              <c:f>Sheet1!$A$14</c:f>
              <c:strCache>
                <c:ptCount val="1"/>
                <c:pt idx="0">
                  <c:v>With Legislation</c:v>
                </c:pt>
              </c:strCache>
            </c:strRef>
          </c:tx>
          <c:spPr>
            <a:ln w="25400" cap="rnd">
              <a:noFill/>
              <a:round/>
            </a:ln>
            <a:effectLst/>
          </c:spPr>
          <c:marker>
            <c:symbol val="circle"/>
            <c:size val="5"/>
            <c:spPr>
              <a:solidFill>
                <a:schemeClr val="accent1"/>
              </a:solidFill>
              <a:ln w="9525">
                <a:solidFill>
                  <a:schemeClr val="accent1"/>
                </a:solidFill>
              </a:ln>
              <a:effectLst/>
            </c:spPr>
          </c:marker>
          <c:xVal>
            <c:numRef>
              <c:f>Sheet1!$B$14:$D$14</c:f>
              <c:numCache>
                <c:formatCode>0.00</c:formatCode>
                <c:ptCount val="3"/>
                <c:pt idx="0">
                  <c:v>0</c:v>
                </c:pt>
                <c:pt idx="1">
                  <c:v>0</c:v>
                </c:pt>
                <c:pt idx="2">
                  <c:v>0</c:v>
                </c:pt>
              </c:numCache>
            </c:numRef>
          </c:xVal>
          <c:yVal>
            <c:numLit>
              <c:formatCode>General</c:formatCode>
              <c:ptCount val="3"/>
              <c:pt idx="0">
                <c:v>0</c:v>
              </c:pt>
              <c:pt idx="1">
                <c:v>0</c:v>
              </c:pt>
              <c:pt idx="2">
                <c:v>0</c:v>
              </c:pt>
            </c:numLit>
          </c:yVal>
          <c:smooth val="0"/>
          <c:extLst>
            <c:ext xmlns:c16="http://schemas.microsoft.com/office/drawing/2014/chart" uri="{C3380CC4-5D6E-409C-BE32-E72D297353CC}">
              <c16:uniqueId val="{00000000-78EC-42A6-8355-ED69953F30C3}"/>
            </c:ext>
          </c:extLst>
        </c:ser>
        <c:dLbls>
          <c:showLegendKey val="0"/>
          <c:showVal val="0"/>
          <c:showCatName val="0"/>
          <c:showSerName val="0"/>
          <c:showPercent val="0"/>
          <c:showBubbleSize val="0"/>
        </c:dLbls>
        <c:axId val="328886399"/>
        <c:axId val="1101482143"/>
      </c:scatterChart>
      <c:valAx>
        <c:axId val="32888639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1482143"/>
        <c:crosses val="autoZero"/>
        <c:crossBetween val="midCat"/>
      </c:valAx>
      <c:valAx>
        <c:axId val="1101482143"/>
        <c:scaling>
          <c:orientation val="minMax"/>
          <c:max val="5.000000000000001E-2"/>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28886399"/>
        <c:crosses val="autoZero"/>
        <c:crossBetween val="midCat"/>
        <c:majorUnit val="0.1"/>
        <c:minorUnit val="5.000000000000001E-2"/>
      </c:valAx>
      <c:spPr>
        <a:noFill/>
        <a:ln>
          <a:noFill/>
        </a:ln>
        <a:effectLst/>
      </c:spPr>
    </c:plotArea>
    <c:legend>
      <c:legendPos val="r"/>
      <c:layout>
        <c:manualLayout>
          <c:xMode val="edge"/>
          <c:yMode val="edge"/>
          <c:x val="2.0536441953764837E-2"/>
          <c:y val="0.13435106325994969"/>
          <c:w val="0.57668678739101265"/>
          <c:h val="0.529415470125057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06036745406826E-2"/>
          <c:y val="0.73189814814814813"/>
          <c:w val="0.863571741032371"/>
          <c:h val="5.4799139690871988E-2"/>
        </c:manualLayout>
      </c:layout>
      <c:scatterChart>
        <c:scatterStyle val="lineMarker"/>
        <c:varyColors val="0"/>
        <c:ser>
          <c:idx val="0"/>
          <c:order val="0"/>
          <c:tx>
            <c:strRef>
              <c:f>Sheet1!$A$14</c:f>
              <c:strCache>
                <c:ptCount val="1"/>
                <c:pt idx="0">
                  <c:v>With Legislation</c:v>
                </c:pt>
              </c:strCache>
            </c:strRef>
          </c:tx>
          <c:spPr>
            <a:ln w="25400" cap="rnd">
              <a:noFill/>
              <a:round/>
            </a:ln>
            <a:effectLst/>
          </c:spPr>
          <c:marker>
            <c:symbol val="circle"/>
            <c:size val="5"/>
            <c:spPr>
              <a:solidFill>
                <a:schemeClr val="accent1"/>
              </a:solidFill>
              <a:ln w="9525">
                <a:solidFill>
                  <a:schemeClr val="accent1"/>
                </a:solidFill>
              </a:ln>
              <a:effectLst/>
            </c:spPr>
          </c:marker>
          <c:xVal>
            <c:numRef>
              <c:f>Sheet1!$B$14:$D$14</c:f>
              <c:numCache>
                <c:formatCode>0.00</c:formatCode>
                <c:ptCount val="3"/>
                <c:pt idx="0">
                  <c:v>0</c:v>
                </c:pt>
                <c:pt idx="1">
                  <c:v>0</c:v>
                </c:pt>
                <c:pt idx="2">
                  <c:v>0</c:v>
                </c:pt>
              </c:numCache>
            </c:numRef>
          </c:xVal>
          <c:yVal>
            <c:numLit>
              <c:formatCode>General</c:formatCode>
              <c:ptCount val="3"/>
              <c:pt idx="0">
                <c:v>0</c:v>
              </c:pt>
              <c:pt idx="1">
                <c:v>0</c:v>
              </c:pt>
              <c:pt idx="2">
                <c:v>0</c:v>
              </c:pt>
            </c:numLit>
          </c:yVal>
          <c:smooth val="0"/>
          <c:extLst>
            <c:ext xmlns:c16="http://schemas.microsoft.com/office/drawing/2014/chart" uri="{C3380CC4-5D6E-409C-BE32-E72D297353CC}">
              <c16:uniqueId val="{00000003-2F5D-41BA-ACA4-F19E76630EB3}"/>
            </c:ext>
          </c:extLst>
        </c:ser>
        <c:ser>
          <c:idx val="1"/>
          <c:order val="1"/>
          <c:tx>
            <c:strRef>
              <c:f>Sheet1!$A$15</c:f>
              <c:strCache>
                <c:ptCount val="1"/>
                <c:pt idx="0">
                  <c:v>Without Legislation</c:v>
                </c:pt>
              </c:strCache>
            </c:strRef>
          </c:tx>
          <c:spPr>
            <a:ln w="25400" cap="rnd">
              <a:noFill/>
              <a:round/>
            </a:ln>
            <a:effectLst/>
          </c:spPr>
          <c:marker>
            <c:symbol val="circle"/>
            <c:size val="5"/>
            <c:spPr>
              <a:solidFill>
                <a:schemeClr val="accent2"/>
              </a:solidFill>
              <a:ln w="9525">
                <a:solidFill>
                  <a:schemeClr val="accent2"/>
                </a:solidFill>
              </a:ln>
              <a:effectLst/>
            </c:spPr>
          </c:marker>
          <c:xVal>
            <c:numRef>
              <c:f>Sheet1!$B$15:$D$15</c:f>
              <c:numCache>
                <c:formatCode>0.00</c:formatCode>
                <c:ptCount val="3"/>
                <c:pt idx="0">
                  <c:v>0</c:v>
                </c:pt>
                <c:pt idx="1">
                  <c:v>0</c:v>
                </c:pt>
                <c:pt idx="2">
                  <c:v>0</c:v>
                </c:pt>
              </c:numCache>
            </c:numRef>
          </c:xVal>
          <c:yVal>
            <c:numLit>
              <c:formatCode>General</c:formatCode>
              <c:ptCount val="3"/>
              <c:pt idx="0">
                <c:v>0</c:v>
              </c:pt>
              <c:pt idx="1">
                <c:v>0</c:v>
              </c:pt>
              <c:pt idx="2">
                <c:v>0</c:v>
              </c:pt>
            </c:numLit>
          </c:yVal>
          <c:smooth val="0"/>
          <c:extLst>
            <c:ext xmlns:c16="http://schemas.microsoft.com/office/drawing/2014/chart" uri="{C3380CC4-5D6E-409C-BE32-E72D297353CC}">
              <c16:uniqueId val="{00000004-2F5D-41BA-ACA4-F19E76630EB3}"/>
            </c:ext>
          </c:extLst>
        </c:ser>
        <c:dLbls>
          <c:showLegendKey val="0"/>
          <c:showVal val="0"/>
          <c:showCatName val="0"/>
          <c:showSerName val="0"/>
          <c:showPercent val="0"/>
          <c:showBubbleSize val="0"/>
        </c:dLbls>
        <c:axId val="328886399"/>
        <c:axId val="1101482143"/>
      </c:scatterChart>
      <c:valAx>
        <c:axId val="32888639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1482143"/>
        <c:crosses val="autoZero"/>
        <c:crossBetween val="midCat"/>
      </c:valAx>
      <c:valAx>
        <c:axId val="1101482143"/>
        <c:scaling>
          <c:orientation val="minMax"/>
          <c:max val="5.000000000000001E-2"/>
          <c:min val="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28886399"/>
        <c:crosses val="autoZero"/>
        <c:crossBetween val="midCat"/>
        <c:majorUnit val="0.1"/>
        <c:minorUnit val="5.000000000000001E-2"/>
      </c:valAx>
      <c:spPr>
        <a:noFill/>
        <a:ln>
          <a:noFill/>
        </a:ln>
        <a:effectLst/>
      </c:spPr>
    </c:plotArea>
    <c:legend>
      <c:legendPos val="r"/>
      <c:layout>
        <c:manualLayout>
          <c:xMode val="edge"/>
          <c:yMode val="edge"/>
          <c:x val="2.0536441953764837E-2"/>
          <c:y val="0.13435106325994969"/>
          <c:w val="0.18852954563823768"/>
          <c:h val="0.529415470125057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781050</xdr:colOff>
      <xdr:row>5</xdr:row>
      <xdr:rowOff>0</xdr:rowOff>
    </xdr:to>
    <xdr:graphicFrame macro="">
      <xdr:nvGraphicFramePr>
        <xdr:cNvPr id="10" name="Chart 3">
          <a:extLst>
            <a:ext uri="{FF2B5EF4-FFF2-40B4-BE49-F238E27FC236}">
              <a16:creationId xmlns:a16="http://schemas.microsoft.com/office/drawing/2014/main" id="{DAA2DA7F-CABE-4E6C-8483-39689D701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21</xdr:row>
      <xdr:rowOff>123824</xdr:rowOff>
    </xdr:from>
    <xdr:to>
      <xdr:col>3</xdr:col>
      <xdr:colOff>561975</xdr:colOff>
      <xdr:row>25</xdr:row>
      <xdr:rowOff>171449</xdr:rowOff>
    </xdr:to>
    <xdr:graphicFrame macro="">
      <xdr:nvGraphicFramePr>
        <xdr:cNvPr id="3" name="Chart 2">
          <a:extLst>
            <a:ext uri="{FF2B5EF4-FFF2-40B4-BE49-F238E27FC236}">
              <a16:creationId xmlns:a16="http://schemas.microsoft.com/office/drawing/2014/main" id="{43D28847-F8B5-4737-839C-68370D308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wolframcloud.com/obj/0c6d0c63-ec23-4543-88b1-b93ff920694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D6666-7473-4A73-9592-1102247390A3}">
  <sheetPr codeName="Sheet1"/>
  <dimension ref="A1:E24"/>
  <sheetViews>
    <sheetView tabSelected="1" zoomScale="70" zoomScaleNormal="70" workbookViewId="0">
      <selection activeCell="B3" sqref="B3"/>
    </sheetView>
  </sheetViews>
  <sheetFormatPr defaultRowHeight="15" x14ac:dyDescent="0.25"/>
  <cols>
    <col min="1" max="2" width="68" customWidth="1"/>
    <col min="3" max="3" width="36.42578125" customWidth="1"/>
  </cols>
  <sheetData>
    <row r="1" spans="1:5" ht="18.600000000000001" customHeight="1" x14ac:dyDescent="0.25">
      <c r="A1" s="19" t="s">
        <v>12</v>
      </c>
      <c r="B1" s="6"/>
      <c r="C1" s="73"/>
      <c r="D1" s="70"/>
      <c r="E1" s="70"/>
    </row>
    <row r="2" spans="1:5" ht="77.099999999999994" customHeight="1" x14ac:dyDescent="0.25">
      <c r="A2" s="100" t="s">
        <v>71</v>
      </c>
      <c r="B2" s="101"/>
      <c r="C2" s="70"/>
      <c r="D2" s="70"/>
      <c r="E2" s="70"/>
    </row>
    <row r="3" spans="1:5" ht="45.75" customHeight="1" x14ac:dyDescent="0.25">
      <c r="A3" s="18" t="s">
        <v>46</v>
      </c>
      <c r="B3" s="43"/>
      <c r="C3" s="92" t="s">
        <v>82</v>
      </c>
      <c r="D3" s="70"/>
      <c r="E3" s="70"/>
    </row>
    <row r="4" spans="1:5" x14ac:dyDescent="0.25">
      <c r="A4" s="106"/>
      <c r="B4" s="107"/>
      <c r="C4" s="92"/>
      <c r="D4" s="70"/>
      <c r="E4" s="70"/>
    </row>
    <row r="5" spans="1:5" x14ac:dyDescent="0.25">
      <c r="A5" s="16" t="s">
        <v>10</v>
      </c>
      <c r="B5" s="17" t="s">
        <v>11</v>
      </c>
      <c r="C5" s="93"/>
      <c r="D5" s="70"/>
      <c r="E5" s="70"/>
    </row>
    <row r="6" spans="1:5" ht="111.75" customHeight="1" x14ac:dyDescent="0.25">
      <c r="A6" s="108" t="str">
        <f xml:space="preserve"> "2. What is your central estimate of total private and public " &amp; _xlfn.XLOOKUP(Sheet1!A2, Sheet1!A6:A11, Sheet1!B6:B11) &amp; " R&amp;D spending and demonstration subsidies in the US in the ten years from the beginning of FY2022 through the end of FY2031 in each of these two scenarios (given all assumptions stated in the instructions)? " &amp; "Please include any federal or non-federal government " &amp; _xlfn.XLOOKUP(Sheet1!A2, Sheet1!A6:A11, Sheet1!B6:B11) &amp;" RD&amp;D spending in the US (not just the funding authorized in the Legislation), and any private spending of these types. " &amp; "(You do not need to have expertise in, or to research, this question. " &amp; "We are primarily interested in two things: 1) your estimate of the difference in spending caused by the enactment of the Legislation;" &amp; " 2) whether you think the Legislation would cause an increase in expected public+private R&amp;D spending and demonstration subsidies in the US other than those authorized by the Legislation, and if so, how much of an increase.)"</f>
        <v>2. What is your central estimate of total private and public enhanced geothermal R&amp;D spending and demonstration subsidies in the US in the ten years from the beginning of FY2022 through the end of FY2031 in each of these two scenarios (given all assumptions stated in the instructions)? Please include any federal or non-federal government enhanced geothermal RD&amp;D spending in the US (not just the funding authorized in the Legislation), and any private spending of these types. (You do not need to have expertise in, or to research, this question. We are primarily interested in two things: 1) your estimate of the difference in spending caused by the enactment of the Legislation; 2) whether you think the Legislation would cause an increase in expected public+private R&amp;D spending and demonstration subsidies in the US other than those authorized by the Legislation, and if so, how much of an increase.)</v>
      </c>
      <c r="B6" s="109"/>
      <c r="C6" s="94"/>
      <c r="D6" s="70"/>
      <c r="E6" s="70"/>
    </row>
    <row r="7" spans="1:5" x14ac:dyDescent="0.25">
      <c r="A7" s="64"/>
      <c r="B7" s="65"/>
      <c r="C7" s="95"/>
      <c r="D7" s="70"/>
      <c r="E7" s="70"/>
    </row>
    <row r="8" spans="1:5" ht="86.25" customHeight="1" x14ac:dyDescent="0.25">
      <c r="A8" s="102" t="str">
        <f xml:space="preserve"> "3. What is your central estimate of total private and public " &amp; _xlfn.XLOOKUP(Sheet1!A2,Sheet1!A6:A11,Sheet1!B6:B11) &amp; " R&amp;D spending and demonstration subsidies outside the US in the ten years from the beginning of 2022 through the end of 2031 for each of these two scenarios (given all assumptions stated above)? " &amp; "(You do not need to have expertise in, or to research, this question. We are primarily interested in two things: 1)  your estimate of the difference caused by the enactment of the Legislation; " &amp; " 2) whether you think the Legislation would cause a change in expected R&amp;D spending and demonstration subsidies outside the US, and if so, how much of a change.)"</f>
        <v>3. What is your central estimate of total private and public enhanced geothermal R&amp;D spending and demonstration subsidies outside the US in the ten years from the beginning of 2022 through the end of 2031 for each of these two scenarios (given all assumptions stated above)? (You do not need to have expertise in, or to research, this question. We are primarily interested in two things: 1)  your estimate of the difference caused by the enactment of the Legislation;  2) whether you think the Legislation would cause a change in expected R&amp;D spending and demonstration subsidies outside the US, and if so, how much of a change.)</v>
      </c>
      <c r="B8" s="103"/>
      <c r="C8" s="96"/>
      <c r="D8" s="70"/>
      <c r="E8" s="70"/>
    </row>
    <row r="9" spans="1:5" x14ac:dyDescent="0.25">
      <c r="A9" s="64"/>
      <c r="B9" s="65"/>
      <c r="C9" s="97"/>
      <c r="D9" s="70"/>
      <c r="E9" s="70"/>
    </row>
    <row r="10" spans="1:5" ht="55.5" customHeight="1" x14ac:dyDescent="0.25">
      <c r="A10" s="102" t="str">
        <f xml:space="preserve"> "4. What subtype of " &amp; _xlfn.XLOOKUP(Sheet1!A2,Sheet1!A6:A11,Sheet1!C6:C11) &amp; " (" &amp; _xlfn.XLOOKUP(Sheet1!A2,Sheet1!A6:A11,Sheet1!D6:D11) &amp; ", etc)" &amp; " do you think is most likely to be the most cost-competitive to develop in 2035? Please describe the technology subtype in at least a few words and explain your choice."</f>
        <v>4. What subtype of enhanced geothermal plant (flash supercritical, closed loop, etc) do you think is most likely to be the most cost-competitive to develop in 2035? Please describe the technology subtype in at least a few words and explain your choice.</v>
      </c>
      <c r="B10" s="103"/>
      <c r="C10" s="90"/>
      <c r="D10" s="70"/>
      <c r="E10" s="70"/>
    </row>
    <row r="11" spans="1:5" ht="32.25" customHeight="1" x14ac:dyDescent="0.25">
      <c r="A11" s="66"/>
      <c r="B11" s="67"/>
      <c r="C11" s="91"/>
      <c r="D11" s="70"/>
      <c r="E11" s="70"/>
    </row>
    <row r="12" spans="1:5" ht="36" customHeight="1" x14ac:dyDescent="0.25">
      <c r="A12" s="102" t="s">
        <v>76</v>
      </c>
      <c r="B12" s="103"/>
      <c r="C12" s="90"/>
      <c r="D12" s="70"/>
      <c r="E12" s="70"/>
    </row>
    <row r="13" spans="1:5" ht="31.5" customHeight="1" x14ac:dyDescent="0.25">
      <c r="A13" s="66"/>
      <c r="B13" s="67"/>
      <c r="C13" s="91"/>
      <c r="D13" s="70"/>
      <c r="E13" s="70"/>
    </row>
    <row r="14" spans="1:5" ht="78.75" customHeight="1" x14ac:dyDescent="0.25">
      <c r="A14" s="102" t="str">
        <f xml:space="preserve"> IF(Sheet1!A2 = "geo", "6. We would like for you to base your answers in Part 3 on a moderately abundant class of geothermal resource. Specifically, we would like for you to base your answer on the class that is the answer to the following question:" &amp; " If 25 GW of enhanced geothermal generation capacity were built in the US, what class of geothermal resources do you think would most likely be used for the 25th gigawatt of capacity? " &amp; "In different words, how desirable of a combination of depth, temperature, and permeability do you think would be used for the plants that would constitute the 25th gigawatt of capacity?", "This box is intentionally blank.")</f>
        <v>6. We would like for you to base your answers in Part 3 on a moderately abundant class of geothermal resource. Specifically, we would like for you to base your answer on the class that is the answer to the following question: If 25 GW of enhanced geothermal generation capacity were built in the US, what class of geothermal resources do you think would most likely be used for the 25th gigawatt of capacity? In different words, how desirable of a combination of depth, temperature, and permeability do you think would be used for the plants that would constitute the 25th gigawatt of capacity?</v>
      </c>
      <c r="B14" s="103"/>
      <c r="C14" s="90"/>
      <c r="D14" s="70"/>
      <c r="E14" s="70"/>
    </row>
    <row r="15" spans="1:5" ht="29.45" customHeight="1" x14ac:dyDescent="0.25">
      <c r="A15" s="66"/>
      <c r="B15" s="67"/>
      <c r="C15" s="91"/>
      <c r="D15" s="70"/>
      <c r="E15" s="70"/>
    </row>
    <row r="16" spans="1:5" ht="29.45" customHeight="1" x14ac:dyDescent="0.25">
      <c r="A16" s="104" t="str">
        <f>IF(Sheet1!A2 = "geo", "7. Do you base your answers in part 3 on the same class or classes of geothermal resources that you described in your answer to the preceding question?", "This box is intentionally blank.")</f>
        <v>7. Do you base your answers in part 3 on the same class or classes of geothermal resources that you described in your answer to the preceding question?</v>
      </c>
      <c r="B16" s="105"/>
      <c r="C16" s="90"/>
      <c r="D16" s="70"/>
      <c r="E16" s="70"/>
    </row>
    <row r="17" spans="1:5" ht="29.45" customHeight="1" x14ac:dyDescent="0.25">
      <c r="A17" s="66"/>
      <c r="B17" s="67"/>
      <c r="C17" s="91"/>
      <c r="D17" s="70"/>
      <c r="E17" s="70"/>
    </row>
    <row r="18" spans="1:5" ht="29.45" customHeight="1" x14ac:dyDescent="0.25">
      <c r="A18" s="98" t="s">
        <v>73</v>
      </c>
      <c r="B18" s="99"/>
      <c r="C18" s="70"/>
      <c r="D18" s="70"/>
      <c r="E18" s="70"/>
    </row>
    <row r="19" spans="1:5" x14ac:dyDescent="0.25">
      <c r="A19" s="7"/>
      <c r="B19" s="8"/>
      <c r="C19" s="70"/>
      <c r="D19" s="70"/>
      <c r="E19" s="70"/>
    </row>
    <row r="20" spans="1:5" s="2" customFormat="1" x14ac:dyDescent="0.25">
      <c r="A20" s="74"/>
      <c r="B20" s="74"/>
      <c r="C20" s="74"/>
      <c r="D20" s="74"/>
      <c r="E20" s="74"/>
    </row>
    <row r="21" spans="1:5" s="2" customFormat="1" x14ac:dyDescent="0.25">
      <c r="A21" s="74"/>
      <c r="B21" s="74"/>
      <c r="C21" s="74"/>
      <c r="D21" s="74"/>
      <c r="E21" s="74"/>
    </row>
    <row r="22" spans="1:5" s="2" customFormat="1" x14ac:dyDescent="0.25">
      <c r="A22" s="74"/>
      <c r="B22" s="74"/>
      <c r="C22" s="74"/>
      <c r="D22" s="74"/>
      <c r="E22" s="74"/>
    </row>
    <row r="23" spans="1:5" s="2" customFormat="1" x14ac:dyDescent="0.25"/>
    <row r="24" spans="1:5" s="2" customFormat="1" x14ac:dyDescent="0.25"/>
  </sheetData>
  <sheetProtection formatColumns="0" formatRows="0"/>
  <mergeCells count="16">
    <mergeCell ref="A18:B18"/>
    <mergeCell ref="A2:B2"/>
    <mergeCell ref="A14:B14"/>
    <mergeCell ref="A16:B16"/>
    <mergeCell ref="A4:B4"/>
    <mergeCell ref="A6:B6"/>
    <mergeCell ref="A8:B8"/>
    <mergeCell ref="A10:B10"/>
    <mergeCell ref="A12:B12"/>
    <mergeCell ref="C12:C13"/>
    <mergeCell ref="C14:C15"/>
    <mergeCell ref="C16:C17"/>
    <mergeCell ref="C3:C5"/>
    <mergeCell ref="C6:C7"/>
    <mergeCell ref="C8:C9"/>
    <mergeCell ref="C10: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818A0-5994-4222-82B6-F2C2592646FB}">
  <dimension ref="A1:C11"/>
  <sheetViews>
    <sheetView workbookViewId="0">
      <selection activeCell="B8" sqref="B8"/>
    </sheetView>
  </sheetViews>
  <sheetFormatPr defaultRowHeight="15" x14ac:dyDescent="0.25"/>
  <cols>
    <col min="1" max="2" width="5.42578125" customWidth="1"/>
    <col min="3" max="3" width="87.42578125" customWidth="1"/>
    <col min="4" max="4" width="9.140625" customWidth="1"/>
  </cols>
  <sheetData>
    <row r="1" spans="1:3" x14ac:dyDescent="0.25">
      <c r="A1" s="3" t="s">
        <v>67</v>
      </c>
    </row>
    <row r="2" spans="1:3" x14ac:dyDescent="0.25">
      <c r="A2" s="54" t="s">
        <v>69</v>
      </c>
      <c r="B2" s="54" t="s">
        <v>70</v>
      </c>
    </row>
    <row r="3" spans="1:3" s="55" customFormat="1" ht="33.4" customHeight="1" x14ac:dyDescent="0.25">
      <c r="A3" s="68"/>
      <c r="B3" s="68"/>
      <c r="C3" s="62" t="s">
        <v>68</v>
      </c>
    </row>
    <row r="4" spans="1:3" s="55" customFormat="1" ht="33.4" customHeight="1" x14ac:dyDescent="0.25">
      <c r="A4" s="68"/>
      <c r="B4" s="68"/>
      <c r="C4" s="62" t="s">
        <v>77</v>
      </c>
    </row>
    <row r="5" spans="1:3" s="55" customFormat="1" ht="33.4" customHeight="1" x14ac:dyDescent="0.25">
      <c r="A5" s="68"/>
      <c r="B5" s="68"/>
      <c r="C5" s="62" t="str">
        <f xml:space="preserve"> "Assumed enactment would increase total federal government funding for " &amp; _xlfn.XLOOKUP(Sheet1!A2, Sheet1!A6:A11, Sheet1!B6:B11) &amp; " RD&amp;D by the amounts specified in the Legislation summary?"</f>
        <v>Assumed enactment would increase total federal government funding for enhanced geothermal RD&amp;D by the amounts specified in the Legislation summary?</v>
      </c>
    </row>
    <row r="6" spans="1:3" s="55" customFormat="1" ht="33.4" customHeight="1" x14ac:dyDescent="0.25">
      <c r="A6" s="68"/>
      <c r="B6" s="68"/>
      <c r="C6" s="62" t="s">
        <v>78</v>
      </c>
    </row>
    <row r="7" spans="1:3" s="55" customFormat="1" ht="33.4" customHeight="1" x14ac:dyDescent="0.25">
      <c r="A7" s="68"/>
      <c r="B7" s="68"/>
      <c r="C7" s="62" t="s">
        <v>86</v>
      </c>
    </row>
    <row r="8" spans="1:3" s="55" customFormat="1" ht="33.4" customHeight="1" x14ac:dyDescent="0.25">
      <c r="A8" s="68"/>
      <c r="B8" s="68"/>
      <c r="C8" s="62" t="s">
        <v>79</v>
      </c>
    </row>
    <row r="9" spans="1:3" s="55" customFormat="1" ht="33.4" customHeight="1" x14ac:dyDescent="0.25">
      <c r="A9" s="68"/>
      <c r="B9" s="68"/>
      <c r="C9" s="62" t="s">
        <v>93</v>
      </c>
    </row>
    <row r="11" spans="1:3" x14ac:dyDescent="0.25">
      <c r="A11" s="56" t="s">
        <v>72</v>
      </c>
    </row>
  </sheetData>
  <sheetProtection sheet="1" formatColumns="0" formatRow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9CC2-052A-4A90-88CC-D5CF1D9D010B}">
  <sheetPr codeName="Sheet2"/>
  <dimension ref="A1:Z61"/>
  <sheetViews>
    <sheetView zoomScale="90" zoomScaleNormal="90" workbookViewId="0">
      <pane ySplit="3" topLeftCell="A4" activePane="bottomLeft" state="frozen"/>
      <selection pane="bottomLeft" activeCell="A4" sqref="A4"/>
    </sheetView>
  </sheetViews>
  <sheetFormatPr defaultRowHeight="15" x14ac:dyDescent="0.25"/>
  <cols>
    <col min="1" max="6" width="11.140625" customWidth="1"/>
    <col min="7" max="7" width="16.42578125" style="9" customWidth="1"/>
    <col min="8" max="8" width="73" customWidth="1"/>
    <col min="9" max="9" width="68.140625" style="70" customWidth="1"/>
    <col min="10" max="10" width="9.140625" style="70" customWidth="1"/>
    <col min="11" max="26" width="8.7109375" style="70"/>
  </cols>
  <sheetData>
    <row r="1" spans="1:26" x14ac:dyDescent="0.25">
      <c r="A1" s="120" t="str">
        <f xml:space="preserve"> "Percentiles of " &amp; IF(Sheet1!A2 = "dac", "Levelized Cost of Capture (LCOC)", "LCOE")</f>
        <v>Percentiles of LCOE</v>
      </c>
      <c r="B1" s="121"/>
      <c r="C1" s="121"/>
      <c r="D1" s="121"/>
      <c r="E1" s="121"/>
      <c r="F1" s="121"/>
      <c r="G1" s="34"/>
      <c r="H1" s="17" t="str">
        <f>"All questions are about 2035. "&amp;IF(Sheet1!$A$2 = "dac", "Tons refers to metric tons. ", "")</f>
        <v xml:space="preserve">All questions are about 2035. </v>
      </c>
    </row>
    <row r="2" spans="1:26" x14ac:dyDescent="0.25">
      <c r="A2" s="123" t="s">
        <v>56</v>
      </c>
      <c r="B2" s="124"/>
      <c r="C2" s="124" t="s">
        <v>45</v>
      </c>
      <c r="D2" s="124"/>
      <c r="E2" s="124" t="s">
        <v>57</v>
      </c>
      <c r="F2" s="124"/>
      <c r="G2" s="125" t="s">
        <v>3</v>
      </c>
      <c r="H2" s="122" t="s">
        <v>50</v>
      </c>
      <c r="I2" s="110" t="s">
        <v>83</v>
      </c>
    </row>
    <row r="3" spans="1:26" s="1" customFormat="1" ht="30" x14ac:dyDescent="0.25">
      <c r="A3" s="12" t="s">
        <v>1</v>
      </c>
      <c r="B3" s="10" t="s">
        <v>0</v>
      </c>
      <c r="C3" s="15" t="s">
        <v>1</v>
      </c>
      <c r="D3" s="10" t="s">
        <v>0</v>
      </c>
      <c r="E3" s="15" t="s">
        <v>1</v>
      </c>
      <c r="F3" s="10" t="s">
        <v>0</v>
      </c>
      <c r="G3" s="126"/>
      <c r="H3" s="122"/>
      <c r="I3" s="110"/>
      <c r="J3" s="69"/>
      <c r="K3" s="69"/>
      <c r="L3" s="69"/>
      <c r="M3" s="69"/>
      <c r="N3" s="69"/>
      <c r="O3" s="69"/>
      <c r="P3" s="69"/>
      <c r="Q3" s="69"/>
      <c r="R3" s="69"/>
      <c r="S3" s="69"/>
      <c r="T3" s="69"/>
      <c r="U3" s="69"/>
      <c r="V3" s="69"/>
      <c r="W3" s="69"/>
      <c r="X3" s="69"/>
      <c r="Y3" s="69"/>
      <c r="Z3" s="69"/>
    </row>
    <row r="4" spans="1:26" s="5" customFormat="1" ht="30" x14ac:dyDescent="0.25">
      <c r="A4" s="85"/>
      <c r="B4" s="85"/>
      <c r="C4" s="85"/>
      <c r="D4" s="85"/>
      <c r="E4" s="85"/>
      <c r="F4" s="85"/>
      <c r="G4" s="35" t="str">
        <f>IF(Sheet1!$A$2 = "dac", "LCOC $/ton", "LCOE $/MWh") &amp; " chosen by you"</f>
        <v>LCOE $/MWh chosen by you</v>
      </c>
      <c r="H4" s="44" t="str">
        <f xml:space="preserve"> "Please provide your best estimates of the six LCOE values here. Please give values that" &amp; IF(OR(Sheet1!$A$2="dac", Sheet1!$A$2 = "ccs"), " include T&amp;S costs and", "")&amp;" are net of (reduced by) any expected co-product profits."</f>
        <v>Please provide your best estimates of the six LCOE values here. Please give values that are net of (reduced by) any expected co-product profits.</v>
      </c>
      <c r="I4" s="75"/>
      <c r="J4" s="69"/>
      <c r="K4" s="69"/>
      <c r="L4" s="69"/>
      <c r="M4" s="69"/>
      <c r="N4" s="69"/>
      <c r="O4" s="69"/>
      <c r="P4" s="69"/>
      <c r="Q4" s="69"/>
      <c r="R4" s="69"/>
      <c r="S4" s="69"/>
      <c r="T4" s="69"/>
      <c r="U4" s="69"/>
      <c r="V4" s="69"/>
      <c r="W4" s="69"/>
      <c r="X4" s="69"/>
      <c r="Y4" s="69"/>
      <c r="Z4" s="69"/>
    </row>
    <row r="5" spans="1:26" s="5" customFormat="1" ht="92.25" customHeight="1" x14ac:dyDescent="0.25">
      <c r="A5" s="20"/>
      <c r="B5" s="20"/>
      <c r="C5" s="20"/>
      <c r="D5" s="20"/>
      <c r="E5" s="20"/>
      <c r="F5" s="20"/>
      <c r="G5" s="35" t="str">
        <f>"Plot of the " &amp; IF(Sheet1!$A$2 = "dac", "LCOC $/ton", "LCOE $/MWh") &amp; " values you entered above"</f>
        <v>Plot of the LCOE $/MWh values you entered above</v>
      </c>
      <c r="H5" s="45" t="s">
        <v>92</v>
      </c>
      <c r="I5" s="69"/>
      <c r="J5" s="69"/>
      <c r="K5" s="69"/>
      <c r="L5" s="69"/>
      <c r="M5" s="69"/>
      <c r="N5" s="69"/>
      <c r="O5" s="69"/>
      <c r="P5" s="69"/>
      <c r="Q5" s="69"/>
      <c r="R5" s="69"/>
      <c r="S5" s="69"/>
      <c r="T5" s="69"/>
      <c r="U5" s="69"/>
      <c r="V5" s="69"/>
      <c r="W5" s="69"/>
      <c r="X5" s="69"/>
      <c r="Y5" s="69"/>
      <c r="Z5" s="69"/>
    </row>
    <row r="6" spans="1:26" s="5" customFormat="1" ht="33.75" customHeight="1" x14ac:dyDescent="0.25">
      <c r="A6" s="130" t="s">
        <v>87</v>
      </c>
      <c r="B6" s="131"/>
      <c r="C6" s="131"/>
      <c r="D6" s="131"/>
      <c r="E6" s="131"/>
      <c r="F6" s="131"/>
      <c r="G6" s="84"/>
      <c r="H6" s="45"/>
      <c r="I6" s="69"/>
      <c r="J6" s="69"/>
      <c r="K6" s="69"/>
      <c r="L6" s="69"/>
      <c r="M6" s="69"/>
      <c r="N6" s="69"/>
      <c r="O6" s="69"/>
      <c r="P6" s="69"/>
      <c r="Q6" s="69"/>
      <c r="R6" s="69"/>
      <c r="S6" s="69"/>
      <c r="T6" s="69"/>
      <c r="U6" s="69"/>
      <c r="V6" s="69"/>
      <c r="W6" s="69"/>
      <c r="X6" s="69"/>
      <c r="Y6" s="69"/>
      <c r="Z6" s="69"/>
    </row>
    <row r="7" spans="1:26" s="5" customFormat="1" ht="51.75" customHeight="1" x14ac:dyDescent="0.25">
      <c r="A7" s="87" t="str">
        <f>IFERROR(IF(Sheet1!$A$2 = "dac", (A9*A8 + A11)/A16 + A12+A18+A29-A34, (A9*A8 + A11)/(A16*8.76) + A12 +A18+A29-A34), "")</f>
        <v/>
      </c>
      <c r="B7" s="87" t="str">
        <f>IFERROR(IF(Sheet1!$A$2 = "dac", (B9*B8 + B11)/B16 + B12+B18+B29-B34, (B9*B8 + B11)/(B16*8.76) + B12 +B18+B29-B34), "")</f>
        <v/>
      </c>
      <c r="C7" s="87" t="str">
        <f>IFERROR(IF(Sheet1!$A$2 = "dac", (C9*C8 + C11)/C16 + C12+C18+C29-C34, (C9*C8 + C11)/(C16*8.76) + C12 +C18+C29-C34), "")</f>
        <v/>
      </c>
      <c r="D7" s="87" t="str">
        <f>IFERROR(IF(Sheet1!$A$2 = "dac", (D9*D8 + D11)/D16 + D12+D18+D29-D34, (D9*D8 + D11)/(D16*8.76) + D12 +D18+D29-D34), "")</f>
        <v/>
      </c>
      <c r="E7" s="87" t="str">
        <f>IFERROR(IF(Sheet1!$A$2 = "dac", (E9*E8 + E11)/E16 + E12+E18+E29-E34, (E9*E8 + E11)/(E16*8.76) + E12 +E18+E29-E34), "")</f>
        <v/>
      </c>
      <c r="F7" s="86" t="str">
        <f>IFERROR(IF(Sheet1!$A$2 = "dac", (F9*F8 + F11)/F16 + F12+F18+F29-F34, (F9*F8 + F11)/(F16*8.76) + F12 +F18+F29-F34), "")</f>
        <v/>
      </c>
      <c r="G7" s="84" t="str">
        <f>IF(Sheet1!$A$2="dac","LCOC $/ton","LCOE $/MWh")&amp;" calculated from below"</f>
        <v>LCOE $/MWh calculated from below</v>
      </c>
      <c r="H7" s="44" t="str">
        <f xml:space="preserve"> "This row will be calculated automatically using your answers from below. " &amp; IF(OR(Sheet1!$A$2="dac", Sheet1!$A$2 = "ccs"), "Includes T&amp;S costs and i", "I") &amp; "s net of (reduced by) any expected co-product profits."</f>
        <v>This row will be calculated automatically using your answers from below. Is net of (reduced by) any expected co-product profits.</v>
      </c>
      <c r="I7" s="69"/>
      <c r="J7" s="69"/>
      <c r="K7" s="69"/>
      <c r="L7" s="69"/>
      <c r="M7" s="69"/>
      <c r="N7" s="69"/>
      <c r="O7" s="69"/>
      <c r="P7" s="69"/>
      <c r="Q7" s="69"/>
      <c r="R7" s="69"/>
      <c r="S7" s="69"/>
      <c r="T7" s="69"/>
      <c r="U7" s="69"/>
      <c r="V7" s="69"/>
      <c r="W7" s="69"/>
      <c r="X7" s="69"/>
      <c r="Y7" s="69"/>
      <c r="Z7" s="69"/>
    </row>
    <row r="8" spans="1:26" ht="47.25" customHeight="1" x14ac:dyDescent="0.25">
      <c r="A8" s="21" t="str">
        <f t="shared" ref="A8:C8" si="0">IFERROR(A10/(1-(1/(1+A10)^A13)), "")</f>
        <v/>
      </c>
      <c r="B8" s="60" t="str">
        <f t="shared" si="0"/>
        <v/>
      </c>
      <c r="C8" s="21" t="str">
        <f t="shared" si="0"/>
        <v/>
      </c>
      <c r="D8" s="21" t="str">
        <f>IFERROR(D10/(1-(1/(1+D10)^D13)), "")</f>
        <v/>
      </c>
      <c r="E8" s="21" t="str">
        <f>IFERROR(E10/(1-(1/(1+E10)^E13)), "")</f>
        <v/>
      </c>
      <c r="F8" s="21" t="str">
        <f>IFERROR(F10/(1-(1/(1+F10)^F13)), "")</f>
        <v/>
      </c>
      <c r="G8" s="35" t="s">
        <v>51</v>
      </c>
      <c r="H8" s="36" t="s">
        <v>81</v>
      </c>
    </row>
    <row r="9" spans="1:26" ht="57" customHeight="1" x14ac:dyDescent="0.25">
      <c r="A9" s="58"/>
      <c r="B9" s="59"/>
      <c r="C9" s="58"/>
      <c r="D9" s="58"/>
      <c r="E9" s="58"/>
      <c r="F9" s="61"/>
      <c r="G9" s="35" t="str">
        <f xml:space="preserve"> "Cost to build " &amp; IF(Sheet1!$A$2 = "dac", "($/ton/year)", "($/kW)")</f>
        <v>Cost to build ($/kW)</v>
      </c>
      <c r="H9" s="51" t="str">
        <f>"Total capital expenditure to develop the plant, per " &amp; IF(Sheet1!$A$2 = "dac", "ton/year of capture", "kW of net generation") &amp; " capacity. Take into account potential differences not just in overnight cost but also in construction time and weighted average cost of capital during construction."</f>
        <v>Total capital expenditure to develop the plant, per kW of net generation capacity. Take into account potential differences not just in overnight cost but also in construction time and weighted average cost of capital during construction.</v>
      </c>
      <c r="I9" s="75"/>
    </row>
    <row r="10" spans="1:26" ht="90" x14ac:dyDescent="0.25">
      <c r="A10" s="63"/>
      <c r="B10" s="63"/>
      <c r="C10" s="63"/>
      <c r="D10" s="63"/>
      <c r="E10" s="63"/>
      <c r="F10" s="63"/>
      <c r="G10" s="35" t="s">
        <v>95</v>
      </c>
      <c r="H10" s="51" t="s">
        <v>94</v>
      </c>
      <c r="I10" s="76"/>
    </row>
    <row r="11" spans="1:26" ht="63" customHeight="1" x14ac:dyDescent="0.25">
      <c r="A11" s="23"/>
      <c r="B11" s="23"/>
      <c r="C11" s="23"/>
      <c r="D11" s="23"/>
      <c r="E11" s="23"/>
      <c r="F11" s="23"/>
      <c r="G11" s="35" t="str">
        <f xml:space="preserve"> "Annual FOM  " &amp; IF(Sheet1!$A$2 = "dac", "($/ ton/year capacity)", "($/kW-year)")</f>
        <v>Annual FOM  ($/kW-year)</v>
      </c>
      <c r="H11" s="37" t="str">
        <f>"Average annual fixed cost per " &amp; IF(Sheet1!$A$2 = "dac", "ton/year capacity", "kW") &amp; " over the plant’s operating life. This should include fixed operating &amp; maintenance expenses as well as post-construction capital expenditures. It should not include the costs of building the facility, as they are the subject of an earlier question."</f>
        <v>Average annual fixed cost per kW over the plant’s operating life. This should include fixed operating &amp; maintenance expenses as well as post-construction capital expenditures. It should not include the costs of building the facility, as they are the subject of an earlier question.</v>
      </c>
      <c r="I11" s="77"/>
    </row>
    <row r="12" spans="1:26" ht="74.25" customHeight="1" x14ac:dyDescent="0.25">
      <c r="A12" s="23"/>
      <c r="B12" s="23"/>
      <c r="C12" s="23"/>
      <c r="D12" s="23"/>
      <c r="E12" s="23"/>
      <c r="F12" s="23"/>
      <c r="G12" s="35" t="str">
        <f xml:space="preserve"> "VOM ($/" &amp; IF(Sheet1!$A$2 = "dac", "ton captured)", "MWh)")</f>
        <v>VOM ($/MWh)</v>
      </c>
      <c r="H12" s="51" t="str">
        <f xml:space="preserve"> "Variable operating and maintenance cost per " &amp; IF(Sheet1!$A$2 = "dac", "ton captured, but omit fuel &amp; electricity costs and enter them in fuel section below instead. Include estimated dollar value of any inputs (other than fuel &amp; electricity)", "MWh injected to grid, not including fuel costs. Include estimated dollar value of any inputs (other than fuel)") &amp; " that need to be replaced sooner as a result of greater use, and estimated dollar value of any capacity degradation or efficiency degradation resulting from greater use."</f>
        <v>Variable operating and maintenance cost per MWh injected to grid, not including fuel costs. Include estimated dollar value of any inputs (other than fuel) that need to be replaced sooner as a result of greater use, and estimated dollar value of any capacity degradation or efficiency degradation resulting from greater use.</v>
      </c>
      <c r="I12" s="77"/>
    </row>
    <row r="13" spans="1:26" ht="45" x14ac:dyDescent="0.25">
      <c r="A13" s="52"/>
      <c r="B13" s="52"/>
      <c r="C13" s="52"/>
      <c r="D13" s="52"/>
      <c r="E13" s="52"/>
      <c r="F13" s="52"/>
      <c r="G13" s="35" t="s">
        <v>48</v>
      </c>
      <c r="H13" s="51" t="s">
        <v>2</v>
      </c>
      <c r="I13" s="78"/>
    </row>
    <row r="14" spans="1:26" ht="30" x14ac:dyDescent="0.25">
      <c r="A14" s="25"/>
      <c r="B14" s="25"/>
      <c r="C14" s="25"/>
      <c r="D14" s="25"/>
      <c r="E14" s="25"/>
      <c r="F14" s="25"/>
      <c r="G14" s="35" t="s">
        <v>88</v>
      </c>
      <c r="H14" s="51" t="s">
        <v>90</v>
      </c>
      <c r="I14" s="79"/>
    </row>
    <row r="15" spans="1:26" ht="27" customHeight="1" x14ac:dyDescent="0.25">
      <c r="A15" s="25"/>
      <c r="B15" s="25"/>
      <c r="C15" s="25"/>
      <c r="D15" s="25"/>
      <c r="E15" s="25"/>
      <c r="F15" s="25"/>
      <c r="G15" s="35" t="s">
        <v>89</v>
      </c>
      <c r="H15" s="51" t="s">
        <v>91</v>
      </c>
      <c r="I15" s="79"/>
    </row>
    <row r="16" spans="1:26" ht="48" customHeight="1" x14ac:dyDescent="0.25">
      <c r="A16" s="26"/>
      <c r="B16" s="26"/>
      <c r="C16" s="26"/>
      <c r="D16" s="26"/>
      <c r="E16" s="26"/>
      <c r="F16" s="26"/>
      <c r="G16" s="38" t="s">
        <v>47</v>
      </c>
      <c r="H16" s="39" t="str">
        <f xml:space="preserve"> "What capacity factor would you like to assume for the calculation of " &amp; IF(Sheet1!$A$2 = "dac", "LCOC", "LCOE") &amp;"? It is fine to leave it the same across the six columns, or to project it in each of the six cases."</f>
        <v>What capacity factor would you like to assume for the calculation of LCOE? It is fine to leave it the same across the six columns, or to project it in each of the six cases.</v>
      </c>
      <c r="I16" s="80"/>
    </row>
    <row r="17" spans="1:9" ht="30.4" customHeight="1" x14ac:dyDescent="0.25">
      <c r="A17" s="127" t="s">
        <v>61</v>
      </c>
      <c r="B17" s="128"/>
      <c r="C17" s="128"/>
      <c r="D17" s="128"/>
      <c r="E17" s="128"/>
      <c r="F17" s="128"/>
      <c r="G17" s="128"/>
      <c r="H17" s="129"/>
      <c r="I17" s="81"/>
    </row>
    <row r="18" spans="1:9" ht="45.75" customHeight="1" x14ac:dyDescent="0.25">
      <c r="A18" s="13">
        <f>(A21*A22*A23) + (A26*A27*A28)</f>
        <v>0</v>
      </c>
      <c r="B18" s="11">
        <f>IFERROR((B21*B22*B23) + (B26*B27*B28), "")</f>
        <v>0</v>
      </c>
      <c r="C18" s="11">
        <f t="shared" ref="C18:E18" si="1">IFERROR((C21*C22*C23) + (C26*C27*C28), "")</f>
        <v>0</v>
      </c>
      <c r="D18" s="11">
        <f t="shared" si="1"/>
        <v>0</v>
      </c>
      <c r="E18" s="11">
        <f t="shared" si="1"/>
        <v>0</v>
      </c>
      <c r="F18" s="11">
        <f>IFERROR((F21*F22*F23) + (F26*F27*F28), "")</f>
        <v>0</v>
      </c>
      <c r="G18" s="35" t="str">
        <f xml:space="preserve"> "Fuel Costs, $ per " &amp; IF(Sheet1!$A$2 = "dac", "ton captured", "MWh")</f>
        <v>Fuel Costs, $ per MWh</v>
      </c>
      <c r="H18" s="42" t="s">
        <v>49</v>
      </c>
      <c r="I18" s="81"/>
    </row>
    <row r="19" spans="1:9" ht="30" customHeight="1" x14ac:dyDescent="0.25">
      <c r="A19" s="112"/>
      <c r="B19" s="113"/>
      <c r="C19" s="113"/>
      <c r="D19" s="113"/>
      <c r="E19" s="113"/>
      <c r="F19" s="114"/>
      <c r="G19" s="28" t="str">
        <f xml:space="preserve"> IF(Sheet1!$A$2 = "ccs", "NG", "Fuel 1")</f>
        <v>Fuel 1</v>
      </c>
      <c r="H19" s="57" t="str">
        <f xml:space="preserve"> "Name of Fuel 1"&amp; IF(Sheet1!$A$2 = "dac", ". If a direct air capture facility requires electricity, include it as a 'fuel.'", "")</f>
        <v>Name of Fuel 1</v>
      </c>
      <c r="I19" s="81"/>
    </row>
    <row r="20" spans="1:9" x14ac:dyDescent="0.25">
      <c r="A20" s="111"/>
      <c r="B20" s="111"/>
      <c r="C20" s="111"/>
      <c r="D20" s="111"/>
      <c r="E20" s="111"/>
      <c r="F20" s="115"/>
      <c r="G20" s="30" t="s">
        <v>42</v>
      </c>
      <c r="H20" s="51" t="str">
        <f xml:space="preserve"> IF(Sheet1!$A$2 = "ccs", "Please use MMBtu", "What are the units you use to measure this fuel?")</f>
        <v>What are the units you use to measure this fuel?</v>
      </c>
      <c r="I20" s="81"/>
    </row>
    <row r="21" spans="1:9" ht="30" x14ac:dyDescent="0.25">
      <c r="A21" s="23"/>
      <c r="B21" s="23"/>
      <c r="C21" s="23"/>
      <c r="D21" s="23"/>
      <c r="E21" s="23"/>
      <c r="F21" s="22"/>
      <c r="G21" s="30" t="s">
        <v>8</v>
      </c>
      <c r="H21" s="51" t="s">
        <v>84</v>
      </c>
      <c r="I21" s="82"/>
    </row>
    <row r="22" spans="1:9" ht="30" x14ac:dyDescent="0.25">
      <c r="A22" s="23"/>
      <c r="B22" s="23"/>
      <c r="C22" s="23"/>
      <c r="D22" s="23"/>
      <c r="E22" s="23"/>
      <c r="F22" s="22"/>
      <c r="G22" s="30" t="str">
        <f xml:space="preserve"> IF(Sheet1!$A$2 = "ccs", "Heat Rate (MMBtu/MWh)", "Units per " &amp; IF(Sheet1!$A$2 = "dac", "ton captured", "MWh"))</f>
        <v>Units per MWh</v>
      </c>
      <c r="H22" s="51" t="str">
        <f xml:space="preserve"> "If the plant requires it, how many units would it require per " &amp; IF(Sheet1!$A$2 = "dac", "ton of CO2 captured?", "MWh of electricity that the plant injects to the grid?")</f>
        <v>If the plant requires it, how many units would it require per MWh of electricity that the plant injects to the grid?</v>
      </c>
      <c r="I22" s="77"/>
    </row>
    <row r="23" spans="1:9" ht="47.25" customHeight="1" x14ac:dyDescent="0.25">
      <c r="A23" s="24"/>
      <c r="B23" s="88">
        <f>IF($A23="",0,$A23)</f>
        <v>0</v>
      </c>
      <c r="C23" s="88">
        <f t="shared" ref="C23:F23" si="2">IF($A23="",0,$A23)</f>
        <v>0</v>
      </c>
      <c r="D23" s="88">
        <f t="shared" si="2"/>
        <v>0</v>
      </c>
      <c r="E23" s="88">
        <f t="shared" si="2"/>
        <v>0</v>
      </c>
      <c r="F23" s="88">
        <f t="shared" si="2"/>
        <v>0</v>
      </c>
      <c r="G23" s="32" t="s">
        <v>44</v>
      </c>
      <c r="H23" s="83" t="str">
        <f>"What is the cost of the fuel, per unit, if the fuel is required?"&amp; IF(Sheet1!$A$2 = "nuc", ""," Enter in column A. Same value will be used in all six columns. " &amp; IF(Sheet1!$A$2 = "ccs", "One projected 2035 price of NG is $3.75/MMBtu in 2020 dollars, though using a different value is fine.",  IF(Sheet1!$A$2 = "dac", "One projected 2035 average price of electricity is $40/MWh in 2020 dollars, though using a different value is fine.", "")))</f>
        <v xml:space="preserve">What is the cost of the fuel, per unit, if the fuel is required? Enter in column A. Same value will be used in all six columns. </v>
      </c>
      <c r="I23" s="80"/>
    </row>
    <row r="24" spans="1:9" ht="30" customHeight="1" x14ac:dyDescent="0.25">
      <c r="A24" s="112"/>
      <c r="B24" s="113"/>
      <c r="C24" s="113"/>
      <c r="D24" s="113"/>
      <c r="E24" s="113"/>
      <c r="F24" s="114"/>
      <c r="G24" s="28" t="str">
        <f xml:space="preserve"> IF(Sheet1!$A$2 = "ccs", "", "Fuel 2")</f>
        <v>Fuel 2</v>
      </c>
      <c r="H24" s="57" t="str">
        <f xml:space="preserve"> IF(Sheet1!$A$2 = "ccs", "These five rows are intentionally empty.", "Name of Fuel 2")</f>
        <v>Name of Fuel 2</v>
      </c>
      <c r="I24" s="81"/>
    </row>
    <row r="25" spans="1:9" x14ac:dyDescent="0.25">
      <c r="A25" s="111"/>
      <c r="B25" s="111"/>
      <c r="C25" s="111"/>
      <c r="D25" s="111"/>
      <c r="E25" s="111"/>
      <c r="F25" s="115"/>
      <c r="G25" s="30" t="str">
        <f xml:space="preserve"> IF(Sheet1!$A$2 = "ccs", "", "Units")</f>
        <v>Units</v>
      </c>
      <c r="H25" s="51" t="str">
        <f xml:space="preserve"> IF(Sheet1!$A$2 = "ccs", "", "What are the units you use to measure this fuel?")</f>
        <v>What are the units you use to measure this fuel?</v>
      </c>
      <c r="I25" s="81"/>
    </row>
    <row r="26" spans="1:9" ht="27" customHeight="1" x14ac:dyDescent="0.25">
      <c r="A26" s="23"/>
      <c r="B26" s="23"/>
      <c r="C26" s="23"/>
      <c r="D26" s="23"/>
      <c r="E26" s="23"/>
      <c r="F26" s="22"/>
      <c r="G26" s="30" t="str">
        <f xml:space="preserve"> IF(Sheet1!$A$2 = "ccs", "", "Probability")</f>
        <v>Probability</v>
      </c>
      <c r="H26" s="83" t="str">
        <f xml:space="preserve"> IF(Sheet1!$A$2 = "ccs", "", "What is the probability that such a plant, if operated, would require this fuel? (0 to 1)")</f>
        <v>What is the probability that such a plant, if operated, would require this fuel? (0 to 1)</v>
      </c>
      <c r="I26" s="82"/>
    </row>
    <row r="27" spans="1:9" ht="31.5" customHeight="1" x14ac:dyDescent="0.25">
      <c r="A27" s="23"/>
      <c r="B27" s="23"/>
      <c r="C27" s="23"/>
      <c r="D27" s="23"/>
      <c r="E27" s="23"/>
      <c r="F27" s="22"/>
      <c r="G27" s="30" t="str">
        <f>IF(Sheet1!$A$2 = "ccs", "", "Units per " &amp; IF(Sheet1!$A$2 = "dac", "ton captured", "MWh"))</f>
        <v>Units per MWh</v>
      </c>
      <c r="H27" s="51" t="str">
        <f xml:space="preserve"> IF(Sheet1!$A$2 = "ccs", "", "If the plant requires it, how many units would it require per " &amp; IF(Sheet1!$A$2 = "dac", "ton of CO2 captured?", "MWh of electricity that the plant injects to the grid?"))</f>
        <v>If the plant requires it, how many units would it require per MWh of electricity that the plant injects to the grid?</v>
      </c>
      <c r="I27" s="77"/>
    </row>
    <row r="28" spans="1:9" ht="49.5" customHeight="1" x14ac:dyDescent="0.25">
      <c r="A28" s="27"/>
      <c r="B28" s="89">
        <f>IF($A28="",0,$A28)</f>
        <v>0</v>
      </c>
      <c r="C28" s="89">
        <f t="shared" ref="C28:F28" si="3">IF($A28="",0,$A28)</f>
        <v>0</v>
      </c>
      <c r="D28" s="89">
        <f t="shared" si="3"/>
        <v>0</v>
      </c>
      <c r="E28" s="89">
        <f t="shared" si="3"/>
        <v>0</v>
      </c>
      <c r="F28" s="89">
        <f t="shared" si="3"/>
        <v>0</v>
      </c>
      <c r="G28" s="32" t="str">
        <f xml:space="preserve"> IF(Sheet1!$A$2 = "ccs", "", "Cost per unit")</f>
        <v>Cost per unit</v>
      </c>
      <c r="H28" s="39" t="str">
        <f xml:space="preserve"> IF(Sheet1!$A$2 = "ccs", "", "What is the cost of the fuel, per unit, if the fuel is required?" &amp;IF(Sheet1!$A$2 = "nuc", ""," Enter in column A. Same value will be used in all six columns. " &amp; IF(Sheet1!$A$2 = "dac", "One projected 2035 cost of NG is $3.75/MMBtu in 2020 dollars, though using a different value is fine.", "")))</f>
        <v xml:space="preserve">What is the cost of the fuel, per unit, if the fuel is required? Enter in column A. Same value will be used in all six columns. </v>
      </c>
      <c r="I28" s="80"/>
    </row>
    <row r="29" spans="1:9" ht="30" customHeight="1" x14ac:dyDescent="0.25">
      <c r="A29" s="47">
        <f>IF(Sheet1!$A$2="dac",A31+A32,IF(Sheet1!$A$2="ccs",(A22*A30*0.05307)*(A31+A32), 0))</f>
        <v>0</v>
      </c>
      <c r="B29" s="47">
        <f>IF(Sheet1!$A$2="dac",B31+B32,IF(Sheet1!$A$2="ccs",(B22*B30*0.05307)*(B31+B32), 0))</f>
        <v>0</v>
      </c>
      <c r="C29" s="47">
        <f>IF(Sheet1!$A$2="dac",C31+C32,IF(Sheet1!$A$2="ccs",(C22*C30*0.05307)*(C31+C32), 0))</f>
        <v>0</v>
      </c>
      <c r="D29" s="47">
        <f>IF(Sheet1!$A$2="dac",D31+D32,IF(Sheet1!$A$2="ccs",(D22*D30*0.05307)*(D31+D32), 0))</f>
        <v>0</v>
      </c>
      <c r="E29" s="47">
        <f>IF(Sheet1!$A$2="dac",E31+E32,IF(Sheet1!$A$2="ccs",(E22*E30*0.05307)*(E31+E32), 0))</f>
        <v>0</v>
      </c>
      <c r="F29" s="47">
        <f>IF(Sheet1!$A$2="dac",F31+F32,IF(Sheet1!$A$2="ccs",(F22*F30*0.05307)*(F31+F32), 0))</f>
        <v>0</v>
      </c>
      <c r="G29" s="40" t="str">
        <f>IF(OR(Sheet1!$A$2="dac", Sheet1!$A$2 = "ccs"), "T&amp;S Costs", "")</f>
        <v/>
      </c>
      <c r="H29" s="51" t="str">
        <f>IF(Sheet1!$A$2="dac","Per ton captured. This row will automatically update using your answers from below. Per ton captured.",IF(Sheet1!$A$2="ccs","Per MWh. This row will automatically update using your answers from below using an assumption of 117 lbs CO2 per MMBtu of NG used.", "The next three rows are intentionally empty for your technology and no answers are needed in them."))</f>
        <v>The next three rows are intentionally empty for your technology and no answers are needed in them.</v>
      </c>
      <c r="I29" s="81"/>
    </row>
    <row r="30" spans="1:9" ht="17.25" customHeight="1" x14ac:dyDescent="0.25">
      <c r="A30" s="48"/>
      <c r="B30" s="48"/>
      <c r="C30" s="48"/>
      <c r="D30" s="48"/>
      <c r="E30" s="48"/>
      <c r="F30" s="49"/>
      <c r="G30" s="35" t="str">
        <f>IF(Sheet1!$A$2 = "ccs", "Percent Capture", "")</f>
        <v/>
      </c>
      <c r="H30" s="51" t="str">
        <f>IF(Sheet1!$A$2 = "ccs", "What percentage of CO2 produced by the facility is captured?", IF(Sheet1!$A$2 = "dac", "This row is intentionally blank", ""))</f>
        <v/>
      </c>
      <c r="I30" s="82"/>
    </row>
    <row r="31" spans="1:9" ht="74.25" customHeight="1" x14ac:dyDescent="0.25">
      <c r="A31" s="50"/>
      <c r="B31" s="50"/>
      <c r="C31" s="50"/>
      <c r="D31" s="50"/>
      <c r="E31" s="50"/>
      <c r="F31" s="50"/>
      <c r="G31" s="35" t="str">
        <f>IF(OR(Sheet1!$A$2="dac", Sheet1!$A$2 = "ccs"),  "Transport of CO2 ", "")</f>
        <v/>
      </c>
      <c r="H31" s="51" t="str">
        <f>IF(OR(Sheet1!$A$2="dac", Sheet1!$A$2 = "ccs"),  "For plants designed in 2035 and then built, what would be the average or expected cost per metric ton of transporting CO2 to a saline aquifer?" &amp; " Please assume the same distance from capture location to aquifer in all six cases. Do not include the cost of compression at the capture facility, as that is included in the costs of the capture facility. ", "")</f>
        <v/>
      </c>
      <c r="I31" s="77"/>
    </row>
    <row r="32" spans="1:9" ht="46.5" customHeight="1" x14ac:dyDescent="0.25">
      <c r="A32" s="23"/>
      <c r="B32" s="23"/>
      <c r="C32" s="23"/>
      <c r="D32" s="23"/>
      <c r="E32" s="23"/>
      <c r="F32" s="22"/>
      <c r="G32" s="35" t="str">
        <f>IF(OR(Sheet1!$A$2="dac", Sheet1!$A$2 = "ccs"),  "Sequestration of CO2 ", "")</f>
        <v/>
      </c>
      <c r="H32" s="51" t="str">
        <f>IF(OR(Sheet1!$A$2="dac", Sheet1!$A$2 = "ccs"), "For plants designed in 2035 and then built, what would be the average cost per metric ton of sequestering the CO2 in a saline aquifer, including the costs of choosing a site, developing the sequestration facility, and operating it?", "")</f>
        <v/>
      </c>
      <c r="I32" s="80"/>
    </row>
    <row r="33" spans="1:9" ht="47.25" customHeight="1" x14ac:dyDescent="0.25">
      <c r="A33" s="117" t="str">
        <f xml:space="preserve"> "If a " &amp; _xlfn.XLOOKUP(Sheet1!$A$2, Sheet1!$A$6:$A$11, Sheet1!$C$6:$C$11, "") &amp; " were designed in 2035 then built and operated, is there a non-trivial probability that it would produce one or more co-products other than " &amp; IF(Sheet1!$A$2 = "dac", "CO2", "electricity and grid-serving ancillary services") &amp; "? Some examples: useful steam, hydrogen, argon, backup power during blackout. If so, please answer the questions about them below."</f>
        <v>If a enhanced geothermal plant were designed in 2035 then built and operated, is there a non-trivial probability that it would produce one or more co-products other than electricity and grid-serving ancillary services? Some examples: useful steam, hydrogen, argon, backup power during blackout. If so, please answer the questions about them below.</v>
      </c>
      <c r="B33" s="118"/>
      <c r="C33" s="118"/>
      <c r="D33" s="118"/>
      <c r="E33" s="118"/>
      <c r="F33" s="118"/>
      <c r="G33" s="118"/>
      <c r="H33" s="119"/>
      <c r="I33" s="81"/>
    </row>
    <row r="34" spans="1:9" ht="45" customHeight="1" x14ac:dyDescent="0.25">
      <c r="A34" s="14">
        <f t="shared" ref="A34:E34" si="4">(A37*A38*(A40-A39)) + (A43*A44*(A46-A45)) + (A49*A50*(A52-A51)) + (A55*A56*(A58-A57))</f>
        <v>0</v>
      </c>
      <c r="B34" s="14">
        <f t="shared" si="4"/>
        <v>0</v>
      </c>
      <c r="C34" s="14">
        <f t="shared" si="4"/>
        <v>0</v>
      </c>
      <c r="D34" s="14">
        <f t="shared" si="4"/>
        <v>0</v>
      </c>
      <c r="E34" s="14">
        <f t="shared" si="4"/>
        <v>0</v>
      </c>
      <c r="F34" s="14">
        <f>(F37*F38*(F40-F39)) + (F43*F44*(F46-F45)) + (F49*F50*(F52-F51)) + (F55*F56*(F58-F57))</f>
        <v>0</v>
      </c>
      <c r="G34" s="38" t="str">
        <f xml:space="preserve"> "Co-Product Revenue $ per " &amp; IF(Sheet1!$A$2 = "dac", "ton captured", "MWh")</f>
        <v>Co-Product Revenue $ per MWh</v>
      </c>
      <c r="H34" s="42" t="s">
        <v>49</v>
      </c>
      <c r="I34" s="81"/>
    </row>
    <row r="35" spans="1:9" x14ac:dyDescent="0.25">
      <c r="A35" s="113"/>
      <c r="B35" s="113"/>
      <c r="C35" s="113"/>
      <c r="D35" s="113"/>
      <c r="E35" s="113"/>
      <c r="F35" s="116"/>
      <c r="G35" s="28" t="s">
        <v>5</v>
      </c>
      <c r="H35" s="29" t="s">
        <v>7</v>
      </c>
      <c r="I35" s="81"/>
    </row>
    <row r="36" spans="1:9" x14ac:dyDescent="0.25">
      <c r="A36" s="111"/>
      <c r="B36" s="111"/>
      <c r="C36" s="111"/>
      <c r="D36" s="111"/>
      <c r="E36" s="111"/>
      <c r="F36" s="111"/>
      <c r="G36" s="30" t="s">
        <v>42</v>
      </c>
      <c r="H36" s="31" t="s">
        <v>43</v>
      </c>
      <c r="I36" s="81"/>
    </row>
    <row r="37" spans="1:9" ht="30" customHeight="1" x14ac:dyDescent="0.25">
      <c r="A37" s="23"/>
      <c r="B37" s="23"/>
      <c r="C37" s="23"/>
      <c r="D37" s="23"/>
      <c r="E37" s="23"/>
      <c r="F37" s="23"/>
      <c r="G37" s="30" t="s">
        <v>8</v>
      </c>
      <c r="H37" s="51" t="s">
        <v>85</v>
      </c>
      <c r="I37" s="82"/>
    </row>
    <row r="38" spans="1:9" ht="30" x14ac:dyDescent="0.25">
      <c r="A38" s="23"/>
      <c r="B38" s="23"/>
      <c r="C38" s="23"/>
      <c r="D38" s="23"/>
      <c r="E38" s="23"/>
      <c r="F38" s="23"/>
      <c r="G38" s="30" t="str">
        <f xml:space="preserve"> "Units per " &amp; IF(Sheet1!$A$2 = "dac", "ton captured", "MWh")</f>
        <v>Units per MWh</v>
      </c>
      <c r="H38" s="51" t="str">
        <f xml:space="preserve"> "If the plant produced it, how many units would it produce per " &amp; IF(Sheet1!$A$2 = "dac", "ton of CO2 captured?", "MWh of electricity that the plant injects to the grid?")</f>
        <v>If the plant produced it, how many units would it produce per MWh of electricity that the plant injects to the grid?</v>
      </c>
      <c r="I38" s="78"/>
    </row>
    <row r="39" spans="1:9" ht="45" x14ac:dyDescent="0.25">
      <c r="A39" s="23"/>
      <c r="B39" s="23"/>
      <c r="C39" s="23"/>
      <c r="D39" s="23"/>
      <c r="E39" s="23"/>
      <c r="F39" s="23"/>
      <c r="G39" s="30" t="s">
        <v>44</v>
      </c>
      <c r="H39" s="51" t="s">
        <v>80</v>
      </c>
      <c r="I39" s="79"/>
    </row>
    <row r="40" spans="1:9" ht="30" x14ac:dyDescent="0.25">
      <c r="A40" s="24"/>
      <c r="B40" s="24"/>
      <c r="C40" s="24"/>
      <c r="D40" s="24"/>
      <c r="E40" s="24"/>
      <c r="F40" s="24"/>
      <c r="G40" s="32" t="s">
        <v>4</v>
      </c>
      <c r="H40" s="33" t="s">
        <v>55</v>
      </c>
      <c r="I40" s="80"/>
    </row>
    <row r="41" spans="1:9" x14ac:dyDescent="0.25">
      <c r="A41" s="112"/>
      <c r="B41" s="113"/>
      <c r="C41" s="113"/>
      <c r="D41" s="113"/>
      <c r="E41" s="113"/>
      <c r="F41" s="116"/>
      <c r="G41" s="28" t="s">
        <v>6</v>
      </c>
      <c r="H41" s="29" t="s">
        <v>9</v>
      </c>
      <c r="I41" s="81"/>
    </row>
    <row r="42" spans="1:9" x14ac:dyDescent="0.25">
      <c r="A42" s="111"/>
      <c r="B42" s="111"/>
      <c r="C42" s="111"/>
      <c r="D42" s="111"/>
      <c r="E42" s="111"/>
      <c r="F42" s="111"/>
      <c r="G42" s="30" t="s">
        <v>42</v>
      </c>
      <c r="H42" s="31" t="s">
        <v>43</v>
      </c>
      <c r="I42" s="81"/>
    </row>
    <row r="43" spans="1:9" ht="28.5" customHeight="1" x14ac:dyDescent="0.25">
      <c r="A43" s="23"/>
      <c r="B43" s="23"/>
      <c r="C43" s="23"/>
      <c r="D43" s="23"/>
      <c r="E43" s="23"/>
      <c r="F43" s="23"/>
      <c r="G43" s="30" t="s">
        <v>8</v>
      </c>
      <c r="H43" s="51" t="s">
        <v>85</v>
      </c>
      <c r="I43" s="82"/>
    </row>
    <row r="44" spans="1:9" ht="30" x14ac:dyDescent="0.25">
      <c r="A44" s="23"/>
      <c r="B44" s="23"/>
      <c r="C44" s="23"/>
      <c r="D44" s="23"/>
      <c r="E44" s="23"/>
      <c r="F44" s="23"/>
      <c r="G44" s="30" t="str">
        <f xml:space="preserve"> "Units per " &amp; IF(Sheet1!$A$2 = "dac", "ton captured", "MWh")</f>
        <v>Units per MWh</v>
      </c>
      <c r="H44" s="51" t="str">
        <f xml:space="preserve"> "If the plant produced it, how many units would it produce per " &amp; IF(Sheet1!$A$2 = "dac", "ton of CO2 captured?", "MWh of electricity that the plant injects to the grid?")</f>
        <v>If the plant produced it, how many units would it produce per MWh of electricity that the plant injects to the grid?</v>
      </c>
      <c r="I44" s="78"/>
    </row>
    <row r="45" spans="1:9" ht="45" x14ac:dyDescent="0.25">
      <c r="A45" s="23"/>
      <c r="B45" s="23"/>
      <c r="C45" s="23"/>
      <c r="D45" s="23"/>
      <c r="E45" s="23"/>
      <c r="F45" s="23"/>
      <c r="G45" s="30" t="s">
        <v>44</v>
      </c>
      <c r="H45" s="51" t="s">
        <v>80</v>
      </c>
      <c r="I45" s="79"/>
    </row>
    <row r="46" spans="1:9" ht="30" x14ac:dyDescent="0.25">
      <c r="A46" s="24"/>
      <c r="B46" s="24"/>
      <c r="C46" s="24"/>
      <c r="D46" s="24"/>
      <c r="E46" s="24"/>
      <c r="F46" s="24"/>
      <c r="G46" s="32" t="s">
        <v>4</v>
      </c>
      <c r="H46" s="33" t="s">
        <v>55</v>
      </c>
      <c r="I46" s="80"/>
    </row>
    <row r="47" spans="1:9" x14ac:dyDescent="0.25">
      <c r="A47" s="112"/>
      <c r="B47" s="113"/>
      <c r="C47" s="113"/>
      <c r="D47" s="113"/>
      <c r="E47" s="113"/>
      <c r="F47" s="116"/>
      <c r="G47" s="28" t="s">
        <v>38</v>
      </c>
      <c r="H47" s="29" t="s">
        <v>40</v>
      </c>
      <c r="I47" s="81"/>
    </row>
    <row r="48" spans="1:9" x14ac:dyDescent="0.25">
      <c r="A48" s="111"/>
      <c r="B48" s="111"/>
      <c r="C48" s="111"/>
      <c r="D48" s="111"/>
      <c r="E48" s="111"/>
      <c r="F48" s="111"/>
      <c r="G48" s="30" t="s">
        <v>42</v>
      </c>
      <c r="H48" s="31" t="s">
        <v>43</v>
      </c>
      <c r="I48" s="81"/>
    </row>
    <row r="49" spans="1:9" ht="30" customHeight="1" x14ac:dyDescent="0.25">
      <c r="A49" s="23"/>
      <c r="B49" s="23"/>
      <c r="C49" s="23"/>
      <c r="D49" s="23"/>
      <c r="E49" s="23"/>
      <c r="F49" s="23"/>
      <c r="G49" s="30" t="s">
        <v>8</v>
      </c>
      <c r="H49" s="51" t="s">
        <v>85</v>
      </c>
      <c r="I49" s="82"/>
    </row>
    <row r="50" spans="1:9" ht="30" x14ac:dyDescent="0.25">
      <c r="A50" s="23"/>
      <c r="B50" s="23"/>
      <c r="C50" s="23"/>
      <c r="D50" s="23"/>
      <c r="E50" s="23"/>
      <c r="F50" s="23"/>
      <c r="G50" s="30" t="str">
        <f xml:space="preserve"> "Units per " &amp; IF(Sheet1!$A$2 = "dac", "ton captured", "MWh")</f>
        <v>Units per MWh</v>
      </c>
      <c r="H50" s="51" t="str">
        <f xml:space="preserve"> "If the plant produced it, how many units would it produce per " &amp; IF(Sheet1!$A$2 = "dac", "ton of CO2 captured?", "MWh of electricity that the plant injects to the grid?")</f>
        <v>If the plant produced it, how many units would it produce per MWh of electricity that the plant injects to the grid?</v>
      </c>
      <c r="I50" s="78"/>
    </row>
    <row r="51" spans="1:9" ht="45" x14ac:dyDescent="0.25">
      <c r="A51" s="23"/>
      <c r="B51" s="23"/>
      <c r="C51" s="23"/>
      <c r="D51" s="23"/>
      <c r="E51" s="23"/>
      <c r="F51" s="23"/>
      <c r="G51" s="30" t="s">
        <v>44</v>
      </c>
      <c r="H51" s="51" t="s">
        <v>80</v>
      </c>
      <c r="I51" s="79"/>
    </row>
    <row r="52" spans="1:9" ht="30" x14ac:dyDescent="0.25">
      <c r="A52" s="24"/>
      <c r="B52" s="24"/>
      <c r="C52" s="24"/>
      <c r="D52" s="24"/>
      <c r="E52" s="24"/>
      <c r="F52" s="24"/>
      <c r="G52" s="32" t="s">
        <v>4</v>
      </c>
      <c r="H52" s="33" t="s">
        <v>55</v>
      </c>
      <c r="I52" s="80"/>
    </row>
    <row r="53" spans="1:9" x14ac:dyDescent="0.25">
      <c r="A53" s="113"/>
      <c r="B53" s="113"/>
      <c r="C53" s="113"/>
      <c r="D53" s="113"/>
      <c r="E53" s="113"/>
      <c r="F53" s="113"/>
      <c r="G53" s="28" t="s">
        <v>39</v>
      </c>
      <c r="H53" s="29" t="s">
        <v>41</v>
      </c>
      <c r="I53" s="81"/>
    </row>
    <row r="54" spans="1:9" x14ac:dyDescent="0.25">
      <c r="A54" s="111"/>
      <c r="B54" s="111"/>
      <c r="C54" s="111"/>
      <c r="D54" s="111"/>
      <c r="E54" s="111"/>
      <c r="F54" s="111"/>
      <c r="G54" s="30" t="s">
        <v>42</v>
      </c>
      <c r="H54" s="31" t="s">
        <v>43</v>
      </c>
      <c r="I54" s="81"/>
    </row>
    <row r="55" spans="1:9" ht="30" customHeight="1" x14ac:dyDescent="0.25">
      <c r="A55" s="23"/>
      <c r="B55" s="23"/>
      <c r="C55" s="23"/>
      <c r="D55" s="23"/>
      <c r="E55" s="23"/>
      <c r="F55" s="23"/>
      <c r="G55" s="30" t="s">
        <v>8</v>
      </c>
      <c r="H55" s="51" t="s">
        <v>85</v>
      </c>
      <c r="I55" s="82"/>
    </row>
    <row r="56" spans="1:9" ht="30" x14ac:dyDescent="0.25">
      <c r="A56" s="23"/>
      <c r="B56" s="23"/>
      <c r="C56" s="23"/>
      <c r="D56" s="23"/>
      <c r="E56" s="23"/>
      <c r="F56" s="23"/>
      <c r="G56" s="30" t="str">
        <f xml:space="preserve"> "Units per " &amp; IF(Sheet1!$A$2 = "dac", "ton captured", "MWh")</f>
        <v>Units per MWh</v>
      </c>
      <c r="H56" s="51" t="str">
        <f xml:space="preserve"> "If the plant produced it, how many units would it produce per " &amp; IF(Sheet1!$A$2 = "dac", "ton of CO2 captured?", "MWh of electricity that the plant injects to the grid?")</f>
        <v>If the plant produced it, how many units would it produce per MWh of electricity that the plant injects to the grid?</v>
      </c>
      <c r="I56" s="78"/>
    </row>
    <row r="57" spans="1:9" ht="45" x14ac:dyDescent="0.25">
      <c r="A57" s="23"/>
      <c r="B57" s="23"/>
      <c r="C57" s="23"/>
      <c r="D57" s="23"/>
      <c r="E57" s="23"/>
      <c r="F57" s="23"/>
      <c r="G57" s="30" t="s">
        <v>44</v>
      </c>
      <c r="H57" s="51" t="s">
        <v>80</v>
      </c>
      <c r="I57" s="79"/>
    </row>
    <row r="58" spans="1:9" ht="30" x14ac:dyDescent="0.25">
      <c r="A58" s="27"/>
      <c r="B58" s="27"/>
      <c r="C58" s="27"/>
      <c r="D58" s="27"/>
      <c r="E58" s="27"/>
      <c r="F58" s="27"/>
      <c r="G58" s="32" t="s">
        <v>4</v>
      </c>
      <c r="H58" s="33" t="s">
        <v>55</v>
      </c>
      <c r="I58" s="80"/>
    </row>
    <row r="59" spans="1:9" x14ac:dyDescent="0.25">
      <c r="A59" s="70"/>
      <c r="B59" s="70"/>
      <c r="C59" s="70"/>
      <c r="D59" s="70"/>
      <c r="E59" s="70"/>
      <c r="F59" s="70"/>
      <c r="G59" s="71"/>
      <c r="H59" s="69"/>
    </row>
    <row r="60" spans="1:9" ht="180" x14ac:dyDescent="0.25">
      <c r="A60" s="63"/>
      <c r="B60" s="63"/>
      <c r="C60" s="63"/>
      <c r="D60" s="63"/>
      <c r="E60" s="63"/>
      <c r="F60" s="63"/>
      <c r="G60" s="35" t="s">
        <v>96</v>
      </c>
      <c r="H60" s="83" t="s">
        <v>97</v>
      </c>
      <c r="I60" s="76"/>
    </row>
    <row r="61" spans="1:9" x14ac:dyDescent="0.25">
      <c r="A61" s="70"/>
      <c r="B61" s="70"/>
      <c r="C61" s="70"/>
      <c r="D61" s="70"/>
      <c r="E61" s="70"/>
      <c r="F61" s="70"/>
      <c r="G61" s="71"/>
      <c r="H61" s="72"/>
    </row>
  </sheetData>
  <sheetProtection sheet="1" formatColumns="0" formatRows="0"/>
  <mergeCells count="22">
    <mergeCell ref="A1:F1"/>
    <mergeCell ref="A35:F35"/>
    <mergeCell ref="H2:H3"/>
    <mergeCell ref="A2:B2"/>
    <mergeCell ref="C2:D2"/>
    <mergeCell ref="E2:F2"/>
    <mergeCell ref="G2:G3"/>
    <mergeCell ref="A17:H17"/>
    <mergeCell ref="A6:F6"/>
    <mergeCell ref="I2:I3"/>
    <mergeCell ref="A54:F54"/>
    <mergeCell ref="A24:F24"/>
    <mergeCell ref="A19:F19"/>
    <mergeCell ref="A20:F20"/>
    <mergeCell ref="A25:F25"/>
    <mergeCell ref="A41:F41"/>
    <mergeCell ref="A47:F47"/>
    <mergeCell ref="A53:F53"/>
    <mergeCell ref="A36:F36"/>
    <mergeCell ref="A42:F42"/>
    <mergeCell ref="A48:F48"/>
    <mergeCell ref="A33:H33"/>
  </mergeCells>
  <hyperlinks>
    <hyperlink ref="H5" r:id="rId1" display="&quot;You can enter any trio of 5th, 50th, and 95th percentiles at https://www.wolframcloud.com/obj/0c6d0c63-ec23-4543-88b1-b93ff920694c to see a &quot; &amp;&quot;probability distribution fitted to that trio as a way of checking whether you’re happy with the position of your 50th percentile relative to your 5th and 95th percentiles. &quot;" xr:uid="{F841DE06-6A60-4BFE-A71F-7EBBB83AEDB7}"/>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69BEA-BA24-46F5-8F0F-77C1FE452C0E}">
  <sheetPr codeName="Sheet3"/>
  <dimension ref="A1:H51"/>
  <sheetViews>
    <sheetView workbookViewId="0">
      <selection activeCell="A3" sqref="A3"/>
    </sheetView>
  </sheetViews>
  <sheetFormatPr defaultRowHeight="15" x14ac:dyDescent="0.25"/>
  <cols>
    <col min="1" max="3" width="11.140625" customWidth="1"/>
    <col min="4" max="4" width="46.42578125" customWidth="1"/>
    <col min="5" max="6" width="11.140625" customWidth="1"/>
    <col min="8" max="8" width="22.42578125" customWidth="1"/>
  </cols>
  <sheetData>
    <row r="1" spans="1:8" x14ac:dyDescent="0.25">
      <c r="A1" s="3" t="s">
        <v>13</v>
      </c>
    </row>
    <row r="2" spans="1:8" x14ac:dyDescent="0.25">
      <c r="A2" t="s">
        <v>19</v>
      </c>
    </row>
    <row r="5" spans="1:8" ht="51" customHeight="1" x14ac:dyDescent="0.25">
      <c r="A5" s="3" t="s">
        <v>15</v>
      </c>
      <c r="B5" s="3" t="s">
        <v>31</v>
      </c>
      <c r="C5" s="3" t="s">
        <v>29</v>
      </c>
      <c r="D5" s="3" t="s">
        <v>30</v>
      </c>
      <c r="G5" t="str">
        <f>IF(Sheet1!$A$2 = "dac", "LCOC $/ton plotted", "LCOE $/MWh plotted")</f>
        <v>LCOE $/MWh plotted</v>
      </c>
      <c r="H5" s="46" t="s">
        <v>58</v>
      </c>
    </row>
    <row r="6" spans="1:8" x14ac:dyDescent="0.25">
      <c r="A6" t="s">
        <v>16</v>
      </c>
      <c r="B6" t="s">
        <v>21</v>
      </c>
      <c r="C6" t="s">
        <v>25</v>
      </c>
      <c r="D6" s="4" t="s">
        <v>63</v>
      </c>
      <c r="E6" s="53" t="s">
        <v>37</v>
      </c>
    </row>
    <row r="7" spans="1:8" x14ac:dyDescent="0.25">
      <c r="A7" t="s">
        <v>14</v>
      </c>
      <c r="B7" t="s">
        <v>22</v>
      </c>
      <c r="C7" t="s">
        <v>26</v>
      </c>
      <c r="D7" s="4" t="s">
        <v>64</v>
      </c>
      <c r="E7" s="53" t="s">
        <v>32</v>
      </c>
    </row>
    <row r="8" spans="1:8" x14ac:dyDescent="0.25">
      <c r="A8" t="s">
        <v>17</v>
      </c>
      <c r="B8" t="s">
        <v>24</v>
      </c>
      <c r="C8" t="s">
        <v>27</v>
      </c>
      <c r="D8" s="4" t="s">
        <v>33</v>
      </c>
      <c r="E8" s="53" t="s">
        <v>33</v>
      </c>
    </row>
    <row r="9" spans="1:8" x14ac:dyDescent="0.25">
      <c r="A9" t="s">
        <v>18</v>
      </c>
      <c r="B9" t="s">
        <v>74</v>
      </c>
      <c r="C9" t="s">
        <v>75</v>
      </c>
      <c r="D9" s="4" t="s">
        <v>62</v>
      </c>
      <c r="E9" s="53" t="s">
        <v>34</v>
      </c>
    </row>
    <row r="10" spans="1:8" x14ac:dyDescent="0.25">
      <c r="A10" t="s">
        <v>19</v>
      </c>
      <c r="B10" t="s">
        <v>53</v>
      </c>
      <c r="C10" t="s">
        <v>54</v>
      </c>
      <c r="D10" s="4" t="s">
        <v>66</v>
      </c>
      <c r="E10" s="53" t="s">
        <v>35</v>
      </c>
    </row>
    <row r="11" spans="1:8" x14ac:dyDescent="0.25">
      <c r="A11" t="s">
        <v>20</v>
      </c>
      <c r="B11" t="s">
        <v>23</v>
      </c>
      <c r="C11" t="s">
        <v>28</v>
      </c>
      <c r="D11" s="4" t="s">
        <v>65</v>
      </c>
      <c r="E11" s="53" t="s">
        <v>36</v>
      </c>
    </row>
    <row r="13" spans="1:8" x14ac:dyDescent="0.25">
      <c r="B13" t="s">
        <v>59</v>
      </c>
      <c r="C13" t="s">
        <v>52</v>
      </c>
      <c r="D13" t="s">
        <v>60</v>
      </c>
    </row>
    <row r="14" spans="1:8" x14ac:dyDescent="0.25">
      <c r="A14" t="s">
        <v>0</v>
      </c>
      <c r="B14" s="41">
        <f>IF('Part 3--Levelized Cost'!B4 = "", 0, 'Part 3--Levelized Cost'!B4)</f>
        <v>0</v>
      </c>
      <c r="C14" s="41">
        <f>IF('Part 3--Levelized Cost'!D4 = "", 0, 'Part 3--Levelized Cost'!D4)</f>
        <v>0</v>
      </c>
      <c r="D14" s="41">
        <f>IF('Part 3--Levelized Cost'!F4 = "", 0, 'Part 3--Levelized Cost'!F4)</f>
        <v>0</v>
      </c>
    </row>
    <row r="15" spans="1:8" x14ac:dyDescent="0.25">
      <c r="A15" t="s">
        <v>1</v>
      </c>
      <c r="B15" s="41">
        <f>IF('Part 3--Levelized Cost'!A4 = "", 0, 'Part 3--Levelized Cost'!A4)</f>
        <v>0</v>
      </c>
      <c r="C15" s="41">
        <f>IF('Part 3--Levelized Cost'!C4 = "", 0, 'Part 3--Levelized Cost'!C4)</f>
        <v>0</v>
      </c>
      <c r="D15" s="41">
        <f>IF('Part 3--Levelized Cost'!E4 = "", 0, 'Part 3--Levelized Cost'!E4)</f>
        <v>0</v>
      </c>
    </row>
    <row r="36" spans="8:8" x14ac:dyDescent="0.25">
      <c r="H36" t="s">
        <v>55</v>
      </c>
    </row>
    <row r="41" spans="8:8" x14ac:dyDescent="0.25">
      <c r="H41" t="s">
        <v>55</v>
      </c>
    </row>
    <row r="46" spans="8:8" x14ac:dyDescent="0.25">
      <c r="H46" t="s">
        <v>55</v>
      </c>
    </row>
    <row r="51" spans="8:8" x14ac:dyDescent="0.25">
      <c r="H51" t="s">
        <v>55</v>
      </c>
    </row>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 1</vt:lpstr>
      <vt:lpstr>Part 2--Checklist</vt:lpstr>
      <vt:lpstr>Part 3--Levelized Cost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Shawhan, Daniel 2</dc:creator>
  <cp:lastModifiedBy>Shawhan, Daniel</cp:lastModifiedBy>
  <dcterms:created xsi:type="dcterms:W3CDTF">2020-11-01T19:30:19Z</dcterms:created>
  <dcterms:modified xsi:type="dcterms:W3CDTF">2021-01-05T16:34:59Z</dcterms:modified>
</cp:coreProperties>
</file>